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15" windowWidth="15480" windowHeight="7005" activeTab="7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8" r:id="rId6"/>
    <sheet name="4" sheetId="13" r:id="rId7"/>
    <sheet name="5" sheetId="14" r:id="rId8"/>
  </sheets>
  <externalReferences>
    <externalReference r:id="rId9"/>
    <externalReference r:id="rId10"/>
  </externalReferences>
  <calcPr calcId="114210"/>
</workbook>
</file>

<file path=xl/calcChain.xml><?xml version="1.0" encoding="utf-8"?>
<calcChain xmlns="http://schemas.openxmlformats.org/spreadsheetml/2006/main">
  <c r="F15" i="2"/>
  <c r="C15"/>
  <c r="F14"/>
  <c r="D14"/>
  <c r="C14"/>
  <c r="F33" i="14"/>
  <c r="F35"/>
  <c r="F21"/>
  <c r="F43" i="3"/>
  <c r="C18" i="13"/>
  <c r="B17"/>
  <c r="B13"/>
  <c r="B31"/>
  <c r="B21" i="8"/>
  <c r="H21"/>
  <c r="I21"/>
  <c r="I29"/>
  <c r="H29"/>
  <c r="G29"/>
  <c r="F13"/>
  <c r="G13"/>
  <c r="D13"/>
  <c r="C13"/>
  <c r="B13"/>
  <c r="B20"/>
  <c r="G20"/>
  <c r="I20"/>
  <c r="I27"/>
  <c r="F38" i="4"/>
  <c r="F37"/>
  <c r="B27" i="8"/>
  <c r="C27"/>
  <c r="G12"/>
  <c r="E12"/>
  <c r="D12"/>
  <c r="C12"/>
  <c r="B12"/>
  <c r="D19"/>
  <c r="G26"/>
  <c r="I26"/>
  <c r="B26"/>
  <c r="C26"/>
  <c r="E19"/>
  <c r="F48" i="3"/>
  <c r="C19" i="8"/>
  <c r="G19"/>
  <c r="B19"/>
  <c r="G11"/>
  <c r="E11"/>
  <c r="D11"/>
  <c r="C11"/>
  <c r="B11"/>
  <c r="F20" i="2"/>
  <c r="G20"/>
  <c r="E27"/>
  <c r="E23"/>
  <c r="C28"/>
  <c r="C27"/>
  <c r="C31"/>
  <c r="C29"/>
  <c r="C25"/>
  <c r="C24"/>
  <c r="C23"/>
  <c r="H27"/>
  <c r="F27"/>
  <c r="G27"/>
  <c r="E15"/>
  <c r="E13"/>
  <c r="E12"/>
  <c r="E11"/>
  <c r="C17"/>
  <c r="C20"/>
  <c r="C13"/>
  <c r="C12"/>
  <c r="C11"/>
  <c r="F31"/>
  <c r="G31"/>
  <c r="H29"/>
  <c r="G29"/>
  <c r="F28"/>
  <c r="G28"/>
  <c r="G26"/>
  <c r="F25"/>
  <c r="H25"/>
  <c r="G25"/>
  <c r="F24"/>
  <c r="H24"/>
  <c r="G24"/>
  <c r="F23"/>
  <c r="H23"/>
  <c r="G23"/>
  <c r="H30"/>
  <c r="F30"/>
  <c r="G30"/>
  <c r="H32"/>
  <c r="F32"/>
  <c r="G32"/>
  <c r="G18"/>
  <c r="F17"/>
  <c r="G17"/>
  <c r="H15"/>
  <c r="G15"/>
  <c r="F13"/>
  <c r="H13"/>
  <c r="G13"/>
  <c r="F12"/>
  <c r="H12"/>
  <c r="G12"/>
  <c r="H11"/>
  <c r="H19"/>
  <c r="H21"/>
  <c r="F16"/>
  <c r="G16"/>
  <c r="F11"/>
  <c r="F19"/>
  <c r="F21"/>
  <c r="D52" i="3"/>
  <c r="D48"/>
  <c r="D47"/>
  <c r="D46"/>
  <c r="D44"/>
  <c r="D43"/>
  <c r="D42"/>
  <c r="D41"/>
  <c r="D40"/>
  <c r="D39"/>
  <c r="D38"/>
  <c r="D17"/>
  <c r="C15" i="4"/>
  <c r="B41"/>
  <c r="G11" i="2"/>
  <c r="G19"/>
  <c r="G21"/>
  <c r="C24" i="4"/>
  <c r="C17"/>
  <c r="B26"/>
  <c r="B24"/>
  <c r="B21"/>
  <c r="B15"/>
  <c r="B14"/>
  <c r="B13"/>
  <c r="B12"/>
  <c r="B28"/>
  <c r="B30"/>
  <c r="B18"/>
  <c r="B19"/>
  <c r="B28" i="5"/>
  <c r="B27"/>
  <c r="B31"/>
  <c r="B33"/>
  <c r="B20"/>
  <c r="B16"/>
  <c r="B15"/>
  <c r="B14"/>
  <c r="B13"/>
  <c r="B12"/>
  <c r="B19"/>
  <c r="B21"/>
  <c r="D30" i="3"/>
  <c r="D33"/>
  <c r="D19"/>
  <c r="D21"/>
  <c r="C17" i="13"/>
  <c r="C31"/>
  <c r="C13"/>
  <c r="E33" i="14"/>
  <c r="E16"/>
  <c r="E15"/>
  <c r="E14"/>
  <c r="E13"/>
  <c r="E12"/>
  <c r="E11"/>
  <c r="E10"/>
  <c r="E9"/>
  <c r="F29" i="8"/>
  <c r="B28"/>
  <c r="B29"/>
  <c r="C29"/>
  <c r="C13" i="5"/>
  <c r="C12"/>
  <c r="C36" i="4"/>
  <c r="C35"/>
  <c r="C34"/>
  <c r="C46" i="3"/>
  <c r="C48"/>
  <c r="C47"/>
  <c r="C44"/>
  <c r="C43"/>
  <c r="C41"/>
  <c r="C42"/>
  <c r="C40"/>
  <c r="C39"/>
  <c r="C38"/>
  <c r="C41" i="4"/>
  <c r="C52" i="3"/>
  <c r="E21" i="14"/>
  <c r="E35"/>
  <c r="C31" i="3"/>
  <c r="C28"/>
  <c r="C26"/>
  <c r="C23"/>
  <c r="C17"/>
  <c r="C15"/>
  <c r="C14"/>
  <c r="C13"/>
  <c r="C12"/>
  <c r="B30"/>
  <c r="B33"/>
  <c r="B28"/>
  <c r="B26"/>
  <c r="B19"/>
  <c r="B21"/>
  <c r="B14"/>
  <c r="B28" i="2"/>
  <c r="B27"/>
  <c r="B23"/>
  <c r="B20"/>
  <c r="B15"/>
  <c r="B13"/>
  <c r="B12"/>
  <c r="B11"/>
  <c r="B30"/>
  <c r="B32"/>
  <c r="B19"/>
  <c r="B21"/>
  <c r="F14" i="8"/>
  <c r="D28" i="2"/>
  <c r="E25"/>
  <c r="D25"/>
  <c r="E30"/>
  <c r="E32"/>
  <c r="D20"/>
  <c r="D17" i="13"/>
  <c r="D31"/>
  <c r="G22" i="8"/>
  <c r="F22"/>
  <c r="D22"/>
  <c r="C22"/>
  <c r="C31" i="5"/>
  <c r="C33"/>
  <c r="C28" i="4"/>
  <c r="C30"/>
  <c r="C18"/>
  <c r="C19"/>
  <c r="B41" i="3"/>
  <c r="B52"/>
  <c r="C30"/>
  <c r="C33"/>
  <c r="C19"/>
  <c r="C21"/>
  <c r="D29" i="2"/>
  <c r="D26"/>
  <c r="D24"/>
  <c r="D18"/>
  <c r="D17"/>
  <c r="D23"/>
  <c r="E14" i="8"/>
  <c r="D11" i="2"/>
  <c r="C14" i="8"/>
  <c r="D12" i="2"/>
  <c r="B22" i="8"/>
  <c r="H12"/>
  <c r="B14"/>
  <c r="I19"/>
  <c r="I22"/>
  <c r="E22"/>
  <c r="G14"/>
  <c r="E19" i="2"/>
  <c r="E21"/>
  <c r="C19" i="5"/>
  <c r="C21"/>
  <c r="H11" i="8"/>
  <c r="D14"/>
  <c r="C19" i="2"/>
  <c r="D13"/>
  <c r="H13" i="8"/>
  <c r="D15" i="2"/>
  <c r="D27"/>
  <c r="C30"/>
  <c r="H14" i="8"/>
  <c r="C32" i="2"/>
  <c r="D32"/>
  <c r="D30"/>
  <c r="D19"/>
  <c r="C21"/>
  <c r="D21"/>
</calcChain>
</file>

<file path=xl/sharedStrings.xml><?xml version="1.0" encoding="utf-8"?>
<sst xmlns="http://schemas.openxmlformats.org/spreadsheetml/2006/main" count="414" uniqueCount="209">
  <si>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</si>
  <si>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</si>
  <si>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</si>
  <si>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</si>
  <si>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</si>
  <si>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</si>
  <si>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</si>
  <si>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</si>
  <si>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</si>
  <si>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</si>
  <si>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</si>
  <si>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</si>
  <si>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</si>
  <si>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</si>
  <si>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</si>
  <si>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</si>
  <si>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</si>
  <si>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</si>
  <si>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</si>
  <si>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</si>
  <si>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</si>
  <si>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</si>
  <si>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</si>
  <si>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</si>
  <si>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</si>
  <si>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</si>
  <si>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</si>
  <si>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</si>
  <si>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</si>
  <si>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</si>
  <si>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</si>
  <si>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</si>
  <si>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</si>
  <si>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</si>
  <si>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</si>
  <si>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</si>
  <si>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</si>
  <si>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</si>
  <si>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</si>
  <si>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</si>
  <si>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</si>
  <si>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</si>
  <si>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</si>
  <si>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</si>
  <si>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</si>
  <si>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</si>
  <si>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</si>
  <si>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</si>
  <si>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</si>
  <si>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</si>
  <si>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</si>
  <si>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Pénzmaradvány felhasználás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</si>
  <si>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</si>
  <si>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</si>
  <si>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</si>
  <si>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</si>
  <si>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</si>
  <si>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</si>
  <si>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</si>
  <si>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</si>
  <si>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</si>
  <si>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</si>
  <si>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</si>
  <si>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</si>
  <si>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</si>
  <si>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</si>
  <si>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</si>
  <si>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</si>
  <si>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</si>
  <si>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</si>
  <si>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</si>
  <si>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</si>
  <si>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</si>
  <si>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</si>
  <si>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</si>
  <si>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</si>
  <si>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</si>
  <si>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</si>
  <si>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</si>
  <si>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</si>
  <si>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</si>
  <si>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3. SZÁMÚ MELLÉKLET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</si>
  <si>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</si>
  <si>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</si>
  <si>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</si>
  <si>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</si>
  <si>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</si>
  <si>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</si>
  <si>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</si>
  <si>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</si>
  <si>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</si>
  <si>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</si>
  <si>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</si>
  <si>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</si>
  <si>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Működési kiadások ezer Ft</t>
  </si>
  <si>
    <t>Működési bevételek ezer Ft</t>
  </si>
  <si>
    <t>Jogcím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</si>
  <si>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</si>
  <si>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</si>
  <si>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</si>
  <si>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</si>
  <si>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</si>
  <si>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</si>
  <si>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</si>
  <si>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</si>
  <si>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</si>
  <si>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</si>
  <si>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</si>
  <si>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</si>
  <si>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</si>
  <si>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</si>
  <si>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</si>
  <si>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</si>
  <si>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</si>
  <si>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</si>
  <si>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</si>
  <si>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</si>
  <si>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</si>
  <si>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</si>
  <si>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</si>
  <si>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</si>
  <si>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</si>
  <si>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100 Ft/lakos</t>
  </si>
  <si>
    <t>20 Ft/lakos</t>
  </si>
  <si>
    <t>előirányzat 2015.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</si>
  <si>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</si>
  <si>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</si>
  <si>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</si>
  <si>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</si>
  <si>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</si>
  <si>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</si>
  <si>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Irányító szervi támogatás részletezése 2014.-2015. év eredeti</t>
  </si>
  <si>
    <t>K5</t>
  </si>
  <si>
    <t>K513</t>
  </si>
  <si>
    <t>B16, 816</t>
  </si>
  <si>
    <t>2015. év terv</t>
  </si>
  <si>
    <t>Felhalmozási kiadások ezer Ft</t>
  </si>
  <si>
    <t>Felhalmozási bevételek ezer Ft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</si>
  <si>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</si>
  <si>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</si>
  <si>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</si>
  <si>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</si>
  <si>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</si>
  <si>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</si>
  <si>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</si>
  <si>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</si>
  <si>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</si>
  <si>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</si>
  <si>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</si>
  <si>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</si>
  <si>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</si>
  <si>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</si>
  <si>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</si>
  <si>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</si>
  <si>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</si>
  <si>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</si>
  <si>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</si>
  <si>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Fajlagos támogatás 2014. évi C. tv. Alapján</t>
  </si>
  <si>
    <t>3.a.</t>
  </si>
  <si>
    <t>Családsegítés</t>
  </si>
  <si>
    <t>L/7000*1 975 000</t>
  </si>
  <si>
    <t>3.aa.</t>
  </si>
  <si>
    <t>Családsegítés társult kiegészítés</t>
  </si>
  <si>
    <t>300 Ft/fő</t>
  </si>
  <si>
    <t>Gyeremkjóléti szolgáltatás</t>
  </si>
  <si>
    <t>Gyeremkjóléti szolg. társult kiegészítés</t>
  </si>
  <si>
    <t>1200 Ft/fő</t>
  </si>
  <si>
    <t>4.a</t>
  </si>
  <si>
    <t>GyÁÓ bértámogatás</t>
  </si>
  <si>
    <t>4.b</t>
  </si>
  <si>
    <t>GyÁÓ intézmény-üzelemtetés</t>
  </si>
  <si>
    <t>Feladat</t>
  </si>
  <si>
    <t>Mindösszesen</t>
  </si>
  <si>
    <t>2015. évi költségvetéséről szóló határozatához</t>
  </si>
  <si>
    <t>2015. január 1.</t>
  </si>
  <si>
    <t>módosító …/2015. (IX….) TT határozat</t>
  </si>
  <si>
    <t>2015. évi költségvetéséről szóló 2/2015. (II.17.) TT. Határozatot</t>
  </si>
  <si>
    <t>módosított</t>
  </si>
  <si>
    <t>K502</t>
  </si>
  <si>
    <t>Maradvány felhasználás</t>
  </si>
  <si>
    <t>B8131</t>
  </si>
  <si>
    <t>Mosonmagyaróvár, 2015. szeptember 4.</t>
  </si>
  <si>
    <t>2015. év eredeti</t>
  </si>
  <si>
    <t>2015. év módosított</t>
  </si>
  <si>
    <t>Irányító szervi támogatás részletezése 2015. év eredeti és módosított</t>
  </si>
  <si>
    <t>Bérkompenzáció</t>
  </si>
  <si>
    <t>Tagönkormányzatok támogatása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</si>
  <si>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</si>
  <si>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</si>
  <si>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</si>
  <si>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</si>
  <si>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2015. évi eredeti</t>
  </si>
  <si>
    <t>2015. évi módosított</t>
  </si>
  <si>
    <t>Jubileumi jutalom, felmentési bérek</t>
  </si>
  <si>
    <t>Felújításra átadott előirányzat</t>
  </si>
  <si>
    <t>Mosonmagyaróvár, 2015.szeptember 4.</t>
  </si>
  <si>
    <t>5. számú melléklet</t>
  </si>
  <si>
    <t>Kiadások és Bevételek működési egyensúlya módosított előirányzat szerint</t>
  </si>
  <si>
    <t>Mosonmagyaróvár,2015. szeptember 4.</t>
  </si>
  <si>
    <t>Módosított előirányzat</t>
  </si>
  <si>
    <t>Rovat: B113, B115</t>
  </si>
  <si>
    <t>Szociális ágazgati pótlék*</t>
  </si>
  <si>
    <t>Szociális ágazati pótlék*</t>
  </si>
  <si>
    <t>* A szociális ágazgati pótlék kiadás szintje eredeti előirányzatban tervezésre került, így a bevételt az intézmény finanszírozás eredeti előirányzatban</t>
  </si>
  <si>
    <t>tartalmazza. Az ágazati pótlék elszámolására az év végi történik, a tényleges igénylések alapján.</t>
  </si>
  <si>
    <t>Ellátottak pénzbeli juttatásai</t>
  </si>
  <si>
    <t>2015. ÉVI KÖLTSÉGVETÉSI HATÁROZATÁHOZ</t>
  </si>
  <si>
    <t>Elvonások és befizetések</t>
  </si>
  <si>
    <t>2015. ÉVI KÖLTSÉGVETÉSI HATÁROZAT MÓDOSÍTÁSA</t>
  </si>
</sst>
</file>

<file path=xl/styles.xml><?xml version="1.0" encoding="utf-8"?>
<styleSheet xmlns="http://schemas.openxmlformats.org/spreadsheetml/2006/main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25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13"/>
        <bgColor indexed="13"/>
      </patternFill>
    </fill>
    <fill>
      <patternFill patternType="solid">
        <fgColor indexed="51"/>
        <bgColor indexed="64"/>
      </patternFill>
    </fill>
  </fills>
  <borders count="2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2">
    <xf numFmtId="0" fontId="0" fillId="0" borderId="0"/>
    <xf numFmtId="168" fontId="21" fillId="0" borderId="0" applyBorder="0" applyProtection="0"/>
    <xf numFmtId="164" fontId="21" fillId="0" borderId="0" applyBorder="0" applyProtection="0"/>
    <xf numFmtId="169" fontId="1" fillId="0" borderId="0" applyFont="0" applyFill="0" applyBorder="0" applyAlignment="0" applyProtection="0"/>
    <xf numFmtId="0" fontId="22" fillId="0" borderId="0" applyNumberFormat="0" applyBorder="0" applyProtection="0">
      <alignment horizontal="center"/>
    </xf>
    <xf numFmtId="0" fontId="22" fillId="0" borderId="0" applyNumberFormat="0" applyBorder="0" applyProtection="0">
      <alignment horizontal="center" textRotation="90"/>
    </xf>
    <xf numFmtId="164" fontId="23" fillId="0" borderId="0" applyBorder="0" applyProtection="0"/>
    <xf numFmtId="164" fontId="23" fillId="0" borderId="0" applyBorder="0" applyProtection="0"/>
    <xf numFmtId="0" fontId="21" fillId="0" borderId="0" applyNumberFormat="0" applyBorder="0" applyProtection="0"/>
    <xf numFmtId="0" fontId="21" fillId="0" borderId="0" applyNumberFormat="0" applyBorder="0" applyProtection="0"/>
    <xf numFmtId="0" fontId="24" fillId="0" borderId="0" applyNumberFormat="0" applyBorder="0" applyProtection="0"/>
    <xf numFmtId="170" fontId="24" fillId="0" borderId="0" applyBorder="0" applyProtection="0"/>
  </cellStyleXfs>
  <cellXfs count="138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10" fillId="4" borderId="9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6" fontId="9" fillId="3" borderId="0" xfId="2" applyNumberFormat="1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0" fontId="12" fillId="0" borderId="0" xfId="0" applyFont="1"/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49" fontId="2" fillId="0" borderId="9" xfId="0" applyNumberFormat="1" applyFont="1" applyBorder="1" applyAlignment="1">
      <alignment wrapText="1"/>
    </xf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164" fontId="3" fillId="0" borderId="0" xfId="2" applyFont="1" applyFill="1" applyAlignment="1">
      <alignment wrapText="1"/>
    </xf>
    <xf numFmtId="165" fontId="13" fillId="0" borderId="9" xfId="1" applyNumberFormat="1" applyFont="1" applyFill="1" applyBorder="1" applyAlignment="1"/>
    <xf numFmtId="164" fontId="3" fillId="5" borderId="9" xfId="2" applyFont="1" applyFill="1" applyBorder="1" applyAlignment="1">
      <alignment wrapText="1"/>
    </xf>
    <xf numFmtId="165" fontId="3" fillId="5" borderId="9" xfId="1" applyNumberFormat="1" applyFont="1" applyFill="1" applyBorder="1" applyAlignment="1"/>
    <xf numFmtId="164" fontId="2" fillId="0" borderId="10" xfId="2" applyFont="1" applyFill="1" applyBorder="1" applyAlignment="1">
      <alignment wrapText="1"/>
    </xf>
    <xf numFmtId="165" fontId="14" fillId="0" borderId="9" xfId="1" applyNumberFormat="1" applyFont="1" applyFill="1" applyBorder="1" applyAlignment="1"/>
    <xf numFmtId="164" fontId="3" fillId="5" borderId="0" xfId="2" applyFont="1" applyFill="1" applyAlignment="1">
      <alignment wrapText="1"/>
    </xf>
    <xf numFmtId="165" fontId="7" fillId="5" borderId="0" xfId="2" applyNumberFormat="1" applyFont="1" applyFill="1" applyAlignment="1"/>
    <xf numFmtId="165" fontId="3" fillId="0" borderId="0" xfId="1" applyNumberFormat="1" applyFont="1" applyFill="1" applyAlignment="1"/>
    <xf numFmtId="165" fontId="7" fillId="0" borderId="0" xfId="1" applyNumberFormat="1" applyFont="1" applyFill="1" applyAlignment="1"/>
    <xf numFmtId="164" fontId="5" fillId="0" borderId="0" xfId="2" applyFont="1" applyFill="1" applyAlignment="1">
      <alignment horizontal="right"/>
    </xf>
    <xf numFmtId="164" fontId="5" fillId="0" borderId="0" xfId="2" applyFont="1" applyFill="1" applyAlignment="1"/>
    <xf numFmtId="164" fontId="5" fillId="0" borderId="0" xfId="2" applyFont="1" applyFill="1" applyAlignment="1">
      <alignment horizontal="justify"/>
    </xf>
    <xf numFmtId="164" fontId="15" fillId="0" borderId="0" xfId="2" applyFont="1" applyFill="1" applyAlignment="1"/>
    <xf numFmtId="164" fontId="5" fillId="0" borderId="13" xfId="2" applyFont="1" applyFill="1" applyBorder="1" applyAlignment="1">
      <alignment horizontal="center"/>
    </xf>
    <xf numFmtId="164" fontId="6" fillId="0" borderId="14" xfId="2" applyFont="1" applyFill="1" applyBorder="1" applyAlignment="1">
      <alignment horizontal="center" vertical="top" wrapText="1"/>
    </xf>
    <xf numFmtId="164" fontId="6" fillId="0" borderId="15" xfId="2" applyFont="1" applyFill="1" applyBorder="1" applyAlignment="1">
      <alignment horizontal="center" vertical="top" wrapText="1"/>
    </xf>
    <xf numFmtId="164" fontId="6" fillId="0" borderId="16" xfId="2" applyFont="1" applyFill="1" applyBorder="1" applyAlignment="1">
      <alignment horizontal="center" vertical="top" wrapText="1"/>
    </xf>
    <xf numFmtId="164" fontId="6" fillId="0" borderId="17" xfId="2" applyFont="1" applyFill="1" applyBorder="1" applyAlignment="1">
      <alignment horizontal="center" vertical="top" wrapText="1"/>
    </xf>
    <xf numFmtId="164" fontId="6" fillId="0" borderId="9" xfId="2" applyFont="1" applyFill="1" applyBorder="1" applyAlignment="1">
      <alignment horizontal="center" vertical="top" wrapText="1"/>
    </xf>
    <xf numFmtId="164" fontId="2" fillId="0" borderId="3" xfId="2" applyFont="1" applyFill="1" applyBorder="1" applyAlignment="1">
      <alignment vertical="top" wrapText="1"/>
    </xf>
    <xf numFmtId="164" fontId="6" fillId="0" borderId="18" xfId="2" applyFont="1" applyFill="1" applyBorder="1" applyAlignment="1">
      <alignment horizontal="center" vertical="top" wrapText="1"/>
    </xf>
    <xf numFmtId="164" fontId="5" fillId="5" borderId="5" xfId="2" applyFont="1" applyFill="1" applyBorder="1" applyAlignment="1">
      <alignment vertical="top" wrapText="1"/>
    </xf>
    <xf numFmtId="164" fontId="16" fillId="5" borderId="17" xfId="2" applyFont="1" applyFill="1" applyBorder="1" applyAlignment="1">
      <alignment horizontal="right" vertical="top" wrapText="1"/>
    </xf>
    <xf numFmtId="164" fontId="16" fillId="5" borderId="9" xfId="2" applyFont="1" applyFill="1" applyBorder="1" applyAlignment="1">
      <alignment horizontal="right" vertical="top" wrapText="1"/>
    </xf>
    <xf numFmtId="164" fontId="6" fillId="0" borderId="5" xfId="2" applyFont="1" applyFill="1" applyBorder="1" applyAlignment="1">
      <alignment vertical="top" wrapText="1"/>
    </xf>
    <xf numFmtId="164" fontId="17" fillId="0" borderId="17" xfId="2" applyFont="1" applyFill="1" applyBorder="1" applyAlignment="1">
      <alignment horizontal="right" vertical="top" wrapText="1"/>
    </xf>
    <xf numFmtId="164" fontId="17" fillId="0" borderId="9" xfId="2" applyFont="1" applyFill="1" applyBorder="1" applyAlignment="1">
      <alignment horizontal="right" vertical="top" wrapText="1"/>
    </xf>
    <xf numFmtId="164" fontId="17" fillId="0" borderId="6" xfId="2" applyFont="1" applyFill="1" applyBorder="1" applyAlignment="1">
      <alignment horizontal="right" vertical="top" wrapText="1"/>
    </xf>
    <xf numFmtId="164" fontId="16" fillId="5" borderId="6" xfId="2" applyFont="1" applyFill="1" applyBorder="1" applyAlignment="1">
      <alignment horizontal="right" vertical="top" wrapText="1"/>
    </xf>
    <xf numFmtId="164" fontId="6" fillId="0" borderId="0" xfId="2" applyFont="1" applyFill="1" applyAlignment="1">
      <alignment vertical="top" wrapText="1"/>
    </xf>
    <xf numFmtId="49" fontId="0" fillId="0" borderId="0" xfId="0" applyNumberFormat="1" applyAlignment="1">
      <alignment wrapText="1"/>
    </xf>
    <xf numFmtId="3" fontId="2" fillId="0" borderId="0" xfId="0" applyNumberFormat="1" applyFont="1"/>
    <xf numFmtId="3" fontId="2" fillId="0" borderId="10" xfId="0" applyNumberFormat="1" applyFont="1" applyBorder="1"/>
    <xf numFmtId="164" fontId="2" fillId="0" borderId="19" xfId="2" applyFont="1" applyFill="1" applyBorder="1" applyAlignment="1"/>
    <xf numFmtId="167" fontId="2" fillId="0" borderId="19" xfId="3" applyNumberFormat="1" applyFont="1" applyFill="1" applyBorder="1" applyAlignment="1"/>
    <xf numFmtId="167" fontId="2" fillId="0" borderId="19" xfId="3" applyNumberFormat="1" applyFont="1" applyFill="1" applyBorder="1" applyAlignment="1">
      <alignment horizontal="right"/>
    </xf>
    <xf numFmtId="164" fontId="2" fillId="0" borderId="6" xfId="2" applyFont="1" applyFill="1" applyBorder="1" applyAlignment="1"/>
    <xf numFmtId="3" fontId="2" fillId="0" borderId="11" xfId="0" applyNumberFormat="1" applyFont="1" applyBorder="1"/>
    <xf numFmtId="167" fontId="2" fillId="0" borderId="20" xfId="3" applyNumberFormat="1" applyFont="1" applyFill="1" applyBorder="1" applyAlignment="1"/>
    <xf numFmtId="3" fontId="2" fillId="0" borderId="19" xfId="0" applyNumberFormat="1" applyFont="1" applyBorder="1"/>
    <xf numFmtId="0" fontId="12" fillId="0" borderId="0" xfId="0" applyFont="1" applyAlignment="1">
      <alignment wrapText="1"/>
    </xf>
    <xf numFmtId="165" fontId="7" fillId="0" borderId="0" xfId="2" applyNumberFormat="1" applyFont="1" applyFill="1" applyAlignment="1"/>
    <xf numFmtId="0" fontId="0" fillId="0" borderId="0" xfId="0" applyFill="1"/>
    <xf numFmtId="164" fontId="2" fillId="0" borderId="19" xfId="2" applyFont="1" applyFill="1" applyBorder="1" applyAlignment="1">
      <alignment wrapText="1"/>
    </xf>
    <xf numFmtId="164" fontId="6" fillId="0" borderId="0" xfId="2" applyFont="1" applyFill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wrapText="1"/>
    </xf>
    <xf numFmtId="0" fontId="18" fillId="0" borderId="21" xfId="0" applyFont="1" applyBorder="1"/>
    <xf numFmtId="0" fontId="18" fillId="0" borderId="19" xfId="0" applyFont="1" applyBorder="1"/>
    <xf numFmtId="3" fontId="18" fillId="0" borderId="19" xfId="0" applyNumberFormat="1" applyFont="1" applyBorder="1" applyAlignment="1">
      <alignment horizontal="right"/>
    </xf>
    <xf numFmtId="3" fontId="18" fillId="0" borderId="19" xfId="0" applyNumberFormat="1" applyFont="1" applyBorder="1"/>
    <xf numFmtId="0" fontId="18" fillId="0" borderId="22" xfId="0" applyFont="1" applyBorder="1"/>
    <xf numFmtId="0" fontId="18" fillId="0" borderId="20" xfId="0" applyFont="1" applyBorder="1"/>
    <xf numFmtId="3" fontId="18" fillId="0" borderId="20" xfId="0" applyNumberFormat="1" applyFont="1" applyBorder="1"/>
    <xf numFmtId="0" fontId="18" fillId="0" borderId="19" xfId="0" applyFont="1" applyBorder="1" applyAlignment="1">
      <alignment horizontal="right"/>
    </xf>
    <xf numFmtId="0" fontId="18" fillId="0" borderId="0" xfId="0" applyFont="1" applyBorder="1"/>
    <xf numFmtId="3" fontId="19" fillId="0" borderId="0" xfId="0" applyNumberFormat="1" applyFont="1" applyBorder="1"/>
    <xf numFmtId="167" fontId="5" fillId="0" borderId="0" xfId="3" applyNumberFormat="1" applyFont="1" applyFill="1" applyAlignment="1"/>
    <xf numFmtId="0" fontId="18" fillId="0" borderId="23" xfId="0" applyFont="1" applyBorder="1"/>
    <xf numFmtId="0" fontId="19" fillId="0" borderId="0" xfId="0" applyFont="1" applyBorder="1"/>
    <xf numFmtId="164" fontId="5" fillId="0" borderId="0" xfId="2" applyFont="1" applyFill="1" applyBorder="1" applyAlignment="1">
      <alignment horizontal="center"/>
    </xf>
    <xf numFmtId="164" fontId="17" fillId="0" borderId="24" xfId="2" applyFont="1" applyFill="1" applyBorder="1" applyAlignment="1">
      <alignment horizontal="right" vertical="top" wrapText="1"/>
    </xf>
    <xf numFmtId="164" fontId="16" fillId="5" borderId="24" xfId="2" applyFont="1" applyFill="1" applyBorder="1" applyAlignment="1">
      <alignment horizontal="right" vertical="top" wrapText="1"/>
    </xf>
    <xf numFmtId="166" fontId="9" fillId="3" borderId="0" xfId="2" applyNumberFormat="1" applyFont="1" applyFill="1" applyBorder="1" applyAlignment="1"/>
    <xf numFmtId="166" fontId="10" fillId="0" borderId="0" xfId="2" applyNumberFormat="1" applyFont="1" applyFill="1" applyBorder="1" applyAlignment="1"/>
    <xf numFmtId="166" fontId="9" fillId="3" borderId="6" xfId="2" applyNumberFormat="1" applyFont="1" applyFill="1" applyBorder="1" applyAlignment="1"/>
    <xf numFmtId="166" fontId="10" fillId="0" borderId="19" xfId="2" applyNumberFormat="1" applyFont="1" applyFill="1" applyBorder="1" applyAlignment="1"/>
    <xf numFmtId="0" fontId="6" fillId="0" borderId="0" xfId="0" applyFont="1" applyAlignment="1">
      <alignment horizontal="right"/>
    </xf>
    <xf numFmtId="167" fontId="2" fillId="0" borderId="0" xfId="3" applyNumberFormat="1" applyFont="1" applyFill="1" applyAlignment="1"/>
    <xf numFmtId="166" fontId="9" fillId="0" borderId="11" xfId="2" applyNumberFormat="1" applyFont="1" applyFill="1" applyBorder="1" applyAlignment="1"/>
    <xf numFmtId="166" fontId="9" fillId="0" borderId="19" xfId="2" applyNumberFormat="1" applyFont="1" applyFill="1" applyBorder="1" applyAlignment="1"/>
    <xf numFmtId="166" fontId="9" fillId="3" borderId="11" xfId="2" applyNumberFormat="1" applyFont="1" applyFill="1" applyBorder="1" applyAlignment="1"/>
    <xf numFmtId="166" fontId="9" fillId="6" borderId="9" xfId="2" applyNumberFormat="1" applyFont="1" applyFill="1" applyBorder="1" applyAlignment="1"/>
    <xf numFmtId="3" fontId="18" fillId="0" borderId="25" xfId="0" applyNumberFormat="1" applyFont="1" applyBorder="1"/>
    <xf numFmtId="3" fontId="18" fillId="0" borderId="26" xfId="0" applyNumberFormat="1" applyFont="1" applyBorder="1"/>
    <xf numFmtId="164" fontId="5" fillId="0" borderId="0" xfId="2" applyFont="1" applyFill="1" applyAlignment="1">
      <alignment wrapText="1"/>
    </xf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7" fillId="0" borderId="0" xfId="2" applyFont="1" applyFill="1" applyAlignment="1">
      <alignment horizontal="center"/>
    </xf>
    <xf numFmtId="164" fontId="8" fillId="2" borderId="27" xfId="2" applyFont="1" applyFill="1" applyBorder="1" applyAlignment="1">
      <alignment horizontal="center" wrapText="1"/>
    </xf>
    <xf numFmtId="164" fontId="5" fillId="0" borderId="0" xfId="2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lnar.ildiko/2015/koncepci&#243;/&#225;tn&#233;zett%20tervek/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lnar.ildiko/AppData/Local/Microsoft/Windows/Temporary%20Internet%20Files/Content.Outlook/3IQVGSZ2/2015%20%20normat&#237;va%20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1">
          <cell r="C11">
            <v>511700</v>
          </cell>
        </row>
        <row r="19">
          <cell r="C19">
            <v>12821300</v>
          </cell>
        </row>
        <row r="24">
          <cell r="C24">
            <v>6127000</v>
          </cell>
        </row>
        <row r="25">
          <cell r="C25">
            <v>18060000</v>
          </cell>
        </row>
        <row r="33">
          <cell r="C33">
            <v>459599366</v>
          </cell>
        </row>
        <row r="44">
          <cell r="C44">
            <v>10091000</v>
          </cell>
        </row>
        <row r="45">
          <cell r="C45">
            <v>1900332</v>
          </cell>
        </row>
        <row r="46">
          <cell r="C46">
            <v>481128034</v>
          </cell>
        </row>
        <row r="47">
          <cell r="C47">
            <v>321246496</v>
          </cell>
        </row>
        <row r="65">
          <cell r="C65">
            <v>5000000</v>
          </cell>
        </row>
      </sheetData>
      <sheetData sheetId="1" refreshError="1">
        <row r="9">
          <cell r="D9">
            <v>286274</v>
          </cell>
        </row>
        <row r="10">
          <cell r="D10">
            <v>77778</v>
          </cell>
        </row>
        <row r="16">
          <cell r="D16">
            <v>188626</v>
          </cell>
        </row>
        <row r="17">
          <cell r="D17">
            <v>700</v>
          </cell>
        </row>
        <row r="18">
          <cell r="D18">
            <v>2435</v>
          </cell>
        </row>
        <row r="21">
          <cell r="D21">
            <v>30591</v>
          </cell>
        </row>
        <row r="22">
          <cell r="D22">
            <v>197930</v>
          </cell>
        </row>
        <row r="23">
          <cell r="D23">
            <v>4102</v>
          </cell>
        </row>
        <row r="24">
          <cell r="D24">
            <v>2435</v>
          </cell>
        </row>
        <row r="25">
          <cell r="D25">
            <v>231946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>
        <row r="4">
          <cell r="F4">
            <v>97862314</v>
          </cell>
        </row>
        <row r="5">
          <cell r="F5">
            <v>24495052</v>
          </cell>
        </row>
        <row r="19">
          <cell r="F19">
            <v>18677000</v>
          </cell>
        </row>
        <row r="20">
          <cell r="F20">
            <v>420000</v>
          </cell>
        </row>
        <row r="23">
          <cell r="F23">
            <v>370000</v>
          </cell>
        </row>
        <row r="24">
          <cell r="F24">
            <v>700000</v>
          </cell>
        </row>
        <row r="25">
          <cell r="F25">
            <v>1540000</v>
          </cell>
        </row>
        <row r="27">
          <cell r="F27">
            <v>138844366</v>
          </cell>
        </row>
        <row r="31">
          <cell r="F31">
            <v>7282500</v>
          </cell>
        </row>
        <row r="32">
          <cell r="F32">
            <v>42261266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7">
          <cell r="E7">
            <v>21847500</v>
          </cell>
        </row>
        <row r="8">
          <cell r="E8">
            <v>20547110</v>
          </cell>
        </row>
        <row r="9">
          <cell r="E9">
            <v>15196800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A7" sqref="A7"/>
    </sheetView>
  </sheetViews>
  <sheetFormatPr defaultColWidth="8.75" defaultRowHeight="15"/>
  <cols>
    <col min="1" max="1" width="38.375" style="1" customWidth="1"/>
    <col min="2" max="2" width="39.5" style="1" customWidth="1"/>
    <col min="3" max="16384" width="8.75" style="1"/>
  </cols>
  <sheetData>
    <row r="1" spans="1:256">
      <c r="B1" s="2" t="s">
        <v>0</v>
      </c>
    </row>
    <row r="2" spans="1:256">
      <c r="B2" s="2"/>
    </row>
    <row r="3" spans="1:256">
      <c r="B3" s="2"/>
    </row>
    <row r="4" spans="1:256">
      <c r="B4" s="2"/>
    </row>
    <row r="5" spans="1:256">
      <c r="A5" s="128" t="s">
        <v>1</v>
      </c>
      <c r="B5" s="128"/>
      <c r="C5" s="2"/>
    </row>
    <row r="6" spans="1:256">
      <c r="A6" s="128" t="s">
        <v>206</v>
      </c>
      <c r="B6" s="128"/>
    </row>
    <row r="7" spans="1:256">
      <c r="A7" s="2"/>
    </row>
    <row r="8" spans="1:256">
      <c r="A8" s="2"/>
    </row>
    <row r="11" spans="1:256">
      <c r="A11" s="128" t="s">
        <v>2</v>
      </c>
      <c r="B11" s="128"/>
    </row>
    <row r="12" spans="1:256">
      <c r="A12" s="128" t="s">
        <v>176</v>
      </c>
      <c r="B12" s="128"/>
    </row>
    <row r="13" spans="1:256" customFormat="1">
      <c r="A13" s="128" t="s">
        <v>175</v>
      </c>
      <c r="B13" s="12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>
      <c r="A15" s="129" t="s">
        <v>3</v>
      </c>
      <c r="B15" s="129"/>
    </row>
    <row r="16" spans="1:256" ht="15.75">
      <c r="A16" s="127" t="s">
        <v>4</v>
      </c>
      <c r="B16" s="127"/>
    </row>
    <row r="17" spans="1:2" ht="15.75">
      <c r="A17" s="4"/>
      <c r="B17" s="4"/>
    </row>
    <row r="18" spans="1:2" ht="15.75">
      <c r="A18" s="4"/>
      <c r="B18" s="4"/>
    </row>
    <row r="19" spans="1:2" ht="15.75">
      <c r="A19" s="4"/>
    </row>
    <row r="20" spans="1:2" ht="16.5" thickBot="1">
      <c r="A20" s="4"/>
    </row>
    <row r="21" spans="1:2" ht="17.25" thickTop="1" thickBot="1">
      <c r="A21" s="5" t="s">
        <v>5</v>
      </c>
      <c r="B21" s="6" t="s">
        <v>6</v>
      </c>
    </row>
    <row r="22" spans="1:2" ht="48" customHeight="1" thickTop="1" thickBot="1">
      <c r="A22" s="7" t="s">
        <v>7</v>
      </c>
      <c r="B22" s="8" t="s">
        <v>8</v>
      </c>
    </row>
    <row r="23" spans="1:2" ht="48" customHeight="1" thickTop="1" thickBot="1">
      <c r="A23" s="7" t="s">
        <v>9</v>
      </c>
      <c r="B23" s="9" t="s">
        <v>10</v>
      </c>
    </row>
    <row r="24" spans="1:2" ht="48" customHeight="1" thickTop="1" thickBot="1">
      <c r="A24" s="10" t="s">
        <v>11</v>
      </c>
      <c r="B24" s="9" t="s">
        <v>72</v>
      </c>
    </row>
    <row r="25" spans="1:2" ht="16.5" thickTop="1">
      <c r="A25" s="11"/>
    </row>
    <row r="26" spans="1:2" ht="15.7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20" type="noConversion"/>
  <pageMargins left="1.24015748031496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42"/>
  <sheetViews>
    <sheetView topLeftCell="A4" workbookViewId="0">
      <selection activeCell="A17" sqref="A17"/>
    </sheetView>
  </sheetViews>
  <sheetFormatPr defaultColWidth="8.75" defaultRowHeight="15"/>
  <cols>
    <col min="1" max="1" width="52.75" style="1" customWidth="1"/>
    <col min="2" max="2" width="17.875" style="1" hidden="1" customWidth="1"/>
    <col min="3" max="8" width="16.625" style="1" customWidth="1"/>
    <col min="9" max="16384" width="8.75" style="1"/>
  </cols>
  <sheetData>
    <row r="1" spans="1:256">
      <c r="B1" s="128" t="s">
        <v>12</v>
      </c>
      <c r="C1" s="128"/>
      <c r="D1" s="3"/>
      <c r="E1" s="3"/>
      <c r="F1" s="3"/>
      <c r="G1" s="3"/>
      <c r="H1" s="3"/>
    </row>
    <row r="2" spans="1:256">
      <c r="B2" s="2"/>
    </row>
    <row r="3" spans="1:256">
      <c r="A3" s="128" t="s">
        <v>1</v>
      </c>
      <c r="B3" s="128"/>
      <c r="C3" s="128"/>
      <c r="D3" s="3"/>
      <c r="E3" s="3"/>
      <c r="F3" s="3"/>
      <c r="G3" s="3"/>
      <c r="H3" s="3"/>
    </row>
    <row r="4" spans="1:256">
      <c r="A4" s="128" t="s">
        <v>206</v>
      </c>
      <c r="B4" s="128"/>
      <c r="C4" s="128"/>
      <c r="D4" s="3"/>
      <c r="E4" s="3"/>
      <c r="F4" s="3"/>
      <c r="G4" s="3"/>
      <c r="H4" s="3"/>
    </row>
    <row r="5" spans="1:256" ht="15.75">
      <c r="A5" s="131" t="s">
        <v>13</v>
      </c>
      <c r="B5" s="131"/>
      <c r="C5" s="131"/>
      <c r="D5" s="12"/>
      <c r="E5" s="12"/>
      <c r="F5" s="12"/>
      <c r="G5" s="12"/>
      <c r="H5" s="12"/>
    </row>
    <row r="6" spans="1:256" ht="15.75">
      <c r="A6" s="131" t="s">
        <v>14</v>
      </c>
      <c r="B6" s="131"/>
      <c r="C6" s="131"/>
      <c r="D6" s="12"/>
      <c r="E6" s="12"/>
      <c r="F6" s="12"/>
      <c r="G6" s="12"/>
      <c r="H6" s="12"/>
    </row>
    <row r="7" spans="1:256" ht="15.75">
      <c r="A7" s="12"/>
      <c r="B7" s="12"/>
      <c r="C7" s="12"/>
      <c r="D7" s="12"/>
      <c r="E7" s="12"/>
      <c r="F7" s="12"/>
      <c r="G7" s="12"/>
      <c r="H7" s="12"/>
    </row>
    <row r="8" spans="1:256" ht="15.75" customHeight="1">
      <c r="A8" s="132" t="s">
        <v>15</v>
      </c>
      <c r="B8" s="132"/>
      <c r="C8" s="132"/>
      <c r="D8" s="13" t="s">
        <v>16</v>
      </c>
      <c r="E8" s="13" t="s">
        <v>17</v>
      </c>
      <c r="F8" s="13"/>
      <c r="G8" s="13" t="s">
        <v>16</v>
      </c>
      <c r="H8" s="13" t="s">
        <v>17</v>
      </c>
    </row>
    <row r="9" spans="1:256" ht="15.7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4" t="s">
        <v>177</v>
      </c>
      <c r="G9" s="14" t="s">
        <v>177</v>
      </c>
      <c r="H9" s="14" t="s">
        <v>177</v>
      </c>
      <c r="I9" s="15" t="s">
        <v>19</v>
      </c>
    </row>
    <row r="10" spans="1:256" ht="31.5">
      <c r="A10" s="16"/>
      <c r="B10" s="17" t="s">
        <v>20</v>
      </c>
      <c r="C10" s="17" t="s">
        <v>124</v>
      </c>
      <c r="D10" s="17" t="s">
        <v>124</v>
      </c>
      <c r="E10" s="17" t="s">
        <v>124</v>
      </c>
      <c r="F10" s="17" t="s">
        <v>124</v>
      </c>
      <c r="G10" s="17" t="s">
        <v>124</v>
      </c>
      <c r="H10" s="17" t="s">
        <v>124</v>
      </c>
      <c r="I10" s="18" t="s">
        <v>125</v>
      </c>
    </row>
    <row r="11" spans="1:256" ht="15.75">
      <c r="A11" s="19" t="s">
        <v>21</v>
      </c>
      <c r="B11" s="20">
        <f ca="1">'2B'!B12+'2C'!B12+'2D'!B12</f>
        <v>363679.31400000001</v>
      </c>
      <c r="C11" s="20">
        <f ca="1">'2B'!C12+'2C'!B12+'2D'!B12</f>
        <v>385136.31400000001</v>
      </c>
      <c r="D11" s="20">
        <f t="shared" ref="D11:D20" si="0">SUM(C11-E11)</f>
        <v>384136.31400000001</v>
      </c>
      <c r="E11" s="20">
        <f ca="1">'2D'!B12</f>
        <v>1000</v>
      </c>
      <c r="F11" s="20">
        <f ca="1">'2B'!D12+'2C'!C12+'2D'!C12</f>
        <v>396602</v>
      </c>
      <c r="G11" s="20">
        <f ca="1">F11-H11</f>
        <v>395602</v>
      </c>
      <c r="H11" s="20">
        <f ca="1">'2D'!C12</f>
        <v>1000</v>
      </c>
      <c r="I11" s="21" t="s">
        <v>22</v>
      </c>
    </row>
    <row r="12" spans="1:256" ht="15.75">
      <c r="A12" s="19" t="s">
        <v>23</v>
      </c>
      <c r="B12" s="20">
        <f ca="1">'2B'!B13+'2C'!B13+'2D'!B13</f>
        <v>94973.751999999993</v>
      </c>
      <c r="C12" s="20">
        <f ca="1">'2B'!C13+'2C'!B13+'2D'!B13</f>
        <v>102784.75199999999</v>
      </c>
      <c r="D12" s="20">
        <f t="shared" si="0"/>
        <v>102273.052</v>
      </c>
      <c r="E12" s="20">
        <f ca="1">'2D'!B13</f>
        <v>511.7</v>
      </c>
      <c r="F12" s="20">
        <f ca="1">'2B'!D13+'2C'!C13+'2D'!C13</f>
        <v>105085.7</v>
      </c>
      <c r="G12" s="20">
        <f t="shared" ref="G12:G20" si="1">F12-H12</f>
        <v>104574</v>
      </c>
      <c r="H12" s="20">
        <f ca="1">'2D'!C13</f>
        <v>511.7</v>
      </c>
      <c r="I12" s="21" t="s">
        <v>24</v>
      </c>
    </row>
    <row r="13" spans="1:256" ht="15.75">
      <c r="A13" s="19" t="s">
        <v>25</v>
      </c>
      <c r="B13" s="20">
        <f ca="1">'2B'!B14+'2C'!B14+'2D'!B14</f>
        <v>231544.3</v>
      </c>
      <c r="C13" s="20">
        <f ca="1">'2B'!C14+'2C'!B14+'2D'!B14</f>
        <v>220124.3</v>
      </c>
      <c r="D13" s="20">
        <f t="shared" si="0"/>
        <v>207303</v>
      </c>
      <c r="E13" s="20">
        <f ca="1">'2D'!B14</f>
        <v>12821.3</v>
      </c>
      <c r="F13" s="20">
        <f ca="1">'2B'!D14+'2C'!C14+'2D'!C14</f>
        <v>226748</v>
      </c>
      <c r="G13" s="20">
        <f t="shared" si="1"/>
        <v>208567</v>
      </c>
      <c r="H13" s="20">
        <f ca="1">'2D'!C14</f>
        <v>18181</v>
      </c>
      <c r="I13" s="21" t="s">
        <v>26</v>
      </c>
    </row>
    <row r="14" spans="1:256" ht="15.75">
      <c r="A14" s="19" t="s">
        <v>205</v>
      </c>
      <c r="B14" s="20"/>
      <c r="C14" s="20">
        <f ca="1">'2B'!C15+'2C'!B15</f>
        <v>1120</v>
      </c>
      <c r="D14" s="20">
        <f ca="1">'2B'!D15+'2C'!C15</f>
        <v>1120</v>
      </c>
      <c r="E14" s="20">
        <v>0</v>
      </c>
      <c r="F14" s="20">
        <f ca="1">'2B'!D15+'2C'!C15</f>
        <v>1120</v>
      </c>
      <c r="G14" s="20"/>
      <c r="H14" s="20"/>
      <c r="I14" s="21"/>
    </row>
    <row r="15" spans="1:256" ht="15.75">
      <c r="A15" s="19" t="s">
        <v>27</v>
      </c>
      <c r="B15" s="20">
        <f ca="1">'2B'!B15+'2C'!B15+'2D'!B15</f>
        <v>7117</v>
      </c>
      <c r="C15" s="20">
        <f ca="1">'2D'!B15</f>
        <v>6127</v>
      </c>
      <c r="D15" s="20">
        <f t="shared" si="0"/>
        <v>0</v>
      </c>
      <c r="E15" s="20">
        <f ca="1">'2D'!B15</f>
        <v>6127</v>
      </c>
      <c r="F15" s="20">
        <f ca="1">'2D'!C15</f>
        <v>8247</v>
      </c>
      <c r="G15" s="20">
        <f t="shared" si="1"/>
        <v>0</v>
      </c>
      <c r="H15" s="20">
        <f ca="1">'2D'!C15</f>
        <v>8247</v>
      </c>
      <c r="I15" s="21" t="s">
        <v>28</v>
      </c>
    </row>
    <row r="16" spans="1:256" customFormat="1" ht="15.75">
      <c r="A16" s="19" t="s">
        <v>207</v>
      </c>
      <c r="B16" s="20"/>
      <c r="C16" s="20">
        <v>0</v>
      </c>
      <c r="D16" s="20"/>
      <c r="E16" s="20"/>
      <c r="F16" s="20">
        <f ca="1">'2B'!D16+'2C'!C16</f>
        <v>512</v>
      </c>
      <c r="G16" s="20">
        <f t="shared" si="1"/>
        <v>512</v>
      </c>
      <c r="H16" s="20">
        <v>0</v>
      </c>
      <c r="I16" s="2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9" ht="30">
      <c r="A17" s="19" t="s">
        <v>29</v>
      </c>
      <c r="B17" s="20">
        <v>0</v>
      </c>
      <c r="C17" s="20">
        <f ca="1">'2B'!C17+'2C'!B17+'2D'!B17</f>
        <v>2435</v>
      </c>
      <c r="D17" s="20">
        <f t="shared" si="0"/>
        <v>2435</v>
      </c>
      <c r="E17" s="20">
        <v>0</v>
      </c>
      <c r="F17" s="20">
        <f ca="1">'2B'!D17+'2C'!C17+'2D'!C17</f>
        <v>7893</v>
      </c>
      <c r="G17" s="20">
        <f t="shared" si="1"/>
        <v>7893</v>
      </c>
      <c r="H17" s="20">
        <v>0</v>
      </c>
      <c r="I17" s="22" t="s">
        <v>30</v>
      </c>
    </row>
    <row r="18" spans="1:9" ht="15.75">
      <c r="A18" s="19" t="s">
        <v>31</v>
      </c>
      <c r="B18" s="23">
        <v>0</v>
      </c>
      <c r="C18" s="23">
        <v>0</v>
      </c>
      <c r="D18" s="20">
        <f t="shared" si="0"/>
        <v>0</v>
      </c>
      <c r="E18" s="20">
        <v>0</v>
      </c>
      <c r="F18" s="20">
        <v>0</v>
      </c>
      <c r="G18" s="20">
        <f t="shared" si="1"/>
        <v>0</v>
      </c>
      <c r="H18" s="20">
        <v>0</v>
      </c>
      <c r="I18" s="21" t="s">
        <v>32</v>
      </c>
    </row>
    <row r="19" spans="1:9" ht="15.75">
      <c r="A19" s="24" t="s">
        <v>33</v>
      </c>
      <c r="B19" s="26">
        <f ca="1">SUM(B11:B18)</f>
        <v>697314.36599999992</v>
      </c>
      <c r="C19" s="26">
        <f ca="1">SUM(C11:C18)</f>
        <v>717727.36599999992</v>
      </c>
      <c r="D19" s="27">
        <f t="shared" si="0"/>
        <v>697267.36599999992</v>
      </c>
      <c r="E19" s="26">
        <f ca="1">SUM(E11:E18)</f>
        <v>20460</v>
      </c>
      <c r="F19" s="114">
        <f ca="1">SUM(F11:F18)</f>
        <v>746207.7</v>
      </c>
      <c r="G19" s="114">
        <f ca="1">SUM(G11:G18)</f>
        <v>717148</v>
      </c>
      <c r="H19" s="114">
        <f ca="1">SUM(H11:H18)</f>
        <v>27939.7</v>
      </c>
    </row>
    <row r="20" spans="1:9" ht="15.75">
      <c r="A20" s="19" t="s">
        <v>34</v>
      </c>
      <c r="B20" s="29">
        <f ca="1">'2D'!B20</f>
        <v>18060</v>
      </c>
      <c r="C20" s="29">
        <f ca="1">'2D'!B20</f>
        <v>18060</v>
      </c>
      <c r="D20" s="28">
        <f t="shared" si="0"/>
        <v>17013</v>
      </c>
      <c r="E20" s="29">
        <v>1047</v>
      </c>
      <c r="F20" s="120">
        <f ca="1">'2D'!C20</f>
        <v>23631</v>
      </c>
      <c r="G20" s="20">
        <f t="shared" si="1"/>
        <v>22584</v>
      </c>
      <c r="H20" s="120">
        <v>1047</v>
      </c>
      <c r="I20" s="85" t="s">
        <v>35</v>
      </c>
    </row>
    <row r="21" spans="1:9" ht="15.75">
      <c r="A21" s="31" t="s">
        <v>38</v>
      </c>
      <c r="B21" s="28">
        <f ca="1">B19+B20</f>
        <v>715374.36599999992</v>
      </c>
      <c r="C21" s="28">
        <f ca="1">C19+C20</f>
        <v>735787.36599999992</v>
      </c>
      <c r="D21" s="28">
        <f ca="1">SUM(C21-E21)</f>
        <v>714280.36599999992</v>
      </c>
      <c r="E21" s="29">
        <f ca="1">SUM(E19+E20)</f>
        <v>21507</v>
      </c>
      <c r="F21" s="121">
        <f ca="1">SUM(F19:F20)</f>
        <v>769838.7</v>
      </c>
      <c r="G21" s="121">
        <f ca="1">SUM(G19:G20)</f>
        <v>739732</v>
      </c>
      <c r="H21" s="121">
        <f ca="1">SUM(H19:H20)</f>
        <v>28986.7</v>
      </c>
      <c r="I21" s="82"/>
    </row>
    <row r="22" spans="1:9" ht="15.75">
      <c r="A22" s="32"/>
      <c r="B22" s="30"/>
      <c r="C22" s="30"/>
      <c r="D22" s="30"/>
      <c r="E22" s="30"/>
      <c r="F22" s="30"/>
      <c r="G22" s="30"/>
      <c r="H22" s="30"/>
    </row>
    <row r="23" spans="1:9" ht="15.75">
      <c r="A23" s="19" t="s">
        <v>39</v>
      </c>
      <c r="B23" s="20">
        <f ca="1">'2B'!B23+'2C'!B21+'2D'!B23</f>
        <v>203341</v>
      </c>
      <c r="C23" s="20">
        <f ca="1">'2B'!C23+'2C'!B21+'2D'!B23</f>
        <v>200170</v>
      </c>
      <c r="D23" s="20">
        <f t="shared" ref="D23:D30" si="2">C23-E23</f>
        <v>200170</v>
      </c>
      <c r="E23" s="20">
        <f ca="1">'2D'!B23</f>
        <v>0</v>
      </c>
      <c r="F23" s="20">
        <f ca="1">'2B'!D23+'2C'!C21+'2D'!C23</f>
        <v>210335</v>
      </c>
      <c r="G23" s="20">
        <f ca="1">F23-H23</f>
        <v>199755</v>
      </c>
      <c r="H23" s="20">
        <f ca="1">'2D'!C23</f>
        <v>10580</v>
      </c>
      <c r="I23" s="21" t="s">
        <v>40</v>
      </c>
    </row>
    <row r="24" spans="1:9" ht="15.75">
      <c r="A24" s="19" t="s">
        <v>41</v>
      </c>
      <c r="B24" s="20">
        <v>0</v>
      </c>
      <c r="C24" s="20">
        <f ca="1">'2B'!C24+'2C'!B22+'2D'!B24</f>
        <v>0</v>
      </c>
      <c r="D24" s="20">
        <f t="shared" si="2"/>
        <v>0</v>
      </c>
      <c r="E24" s="20">
        <v>0</v>
      </c>
      <c r="F24" s="20">
        <f ca="1">'2D'!C24</f>
        <v>0</v>
      </c>
      <c r="G24" s="20">
        <f t="shared" ref="G24:G32" si="3">F24-H24</f>
        <v>0</v>
      </c>
      <c r="H24" s="20">
        <f ca="1">'2C'!C22</f>
        <v>0</v>
      </c>
      <c r="I24" s="21"/>
    </row>
    <row r="25" spans="1:9" ht="45">
      <c r="A25" s="19" t="s">
        <v>42</v>
      </c>
      <c r="B25" s="20">
        <v>0</v>
      </c>
      <c r="C25" s="20">
        <f ca="1">'2B'!C25+'2C'!B23+'2D'!B25</f>
        <v>0</v>
      </c>
      <c r="D25" s="20">
        <f t="shared" si="2"/>
        <v>0</v>
      </c>
      <c r="E25" s="20">
        <f ca="1">'2D'!C25</f>
        <v>0</v>
      </c>
      <c r="F25" s="20">
        <f ca="1">'2B'!D24+'2C'!C22+'2D'!C25</f>
        <v>0</v>
      </c>
      <c r="G25" s="20">
        <f t="shared" si="3"/>
        <v>0</v>
      </c>
      <c r="H25" s="20">
        <f ca="1">'2C'!C23</f>
        <v>0</v>
      </c>
      <c r="I25" s="22" t="s">
        <v>43</v>
      </c>
    </row>
    <row r="26" spans="1:9" ht="15.75">
      <c r="A26" s="19" t="s">
        <v>44</v>
      </c>
      <c r="B26" s="20">
        <v>0</v>
      </c>
      <c r="C26" s="20">
        <v>0</v>
      </c>
      <c r="D26" s="20">
        <f t="shared" si="2"/>
        <v>0</v>
      </c>
      <c r="E26" s="20">
        <v>0</v>
      </c>
      <c r="F26" s="20">
        <v>0</v>
      </c>
      <c r="G26" s="20">
        <f t="shared" si="3"/>
        <v>0</v>
      </c>
      <c r="H26" s="20">
        <v>0</v>
      </c>
      <c r="I26" s="21"/>
    </row>
    <row r="27" spans="1:9" ht="15.75">
      <c r="A27" s="19" t="s">
        <v>45</v>
      </c>
      <c r="B27" s="20">
        <f ca="1">'2B'!B26+'2C'!B24+'2D'!B27</f>
        <v>536637.36599999992</v>
      </c>
      <c r="C27" s="20">
        <f ca="1">'2B'!C26+'2C'!B24+'2D'!B27</f>
        <v>533182.36599999992</v>
      </c>
      <c r="D27" s="20">
        <f t="shared" si="2"/>
        <v>511675.36599999992</v>
      </c>
      <c r="E27" s="20">
        <f ca="1">18407+3100</f>
        <v>21507</v>
      </c>
      <c r="F27" s="20">
        <f ca="1">'2B'!D26+'2C'!C24+'2D'!C27</f>
        <v>554994</v>
      </c>
      <c r="G27" s="20">
        <f t="shared" si="3"/>
        <v>536587</v>
      </c>
      <c r="H27" s="20">
        <f ca="1">17360+1047</f>
        <v>18407</v>
      </c>
      <c r="I27" s="21" t="s">
        <v>46</v>
      </c>
    </row>
    <row r="28" spans="1:9" ht="15.75">
      <c r="A28" s="19" t="s">
        <v>47</v>
      </c>
      <c r="B28" s="20">
        <f ca="1">'2D'!B28</f>
        <v>321246.49599999998</v>
      </c>
      <c r="C28" s="20">
        <f ca="1">'2B'!C27+'2C'!B25+'2D'!B28</f>
        <v>331337.49599999998</v>
      </c>
      <c r="D28" s="20">
        <f t="shared" si="2"/>
        <v>331337.49599999998</v>
      </c>
      <c r="E28" s="20">
        <v>0</v>
      </c>
      <c r="F28" s="20">
        <f ca="1">'2B'!D27+'2C'!C25+'2D'!C28</f>
        <v>350673</v>
      </c>
      <c r="G28" s="20">
        <f t="shared" si="3"/>
        <v>350673</v>
      </c>
      <c r="H28" s="20">
        <v>0</v>
      </c>
      <c r="I28" s="21"/>
    </row>
    <row r="29" spans="1:9" ht="15.75">
      <c r="A29" s="19" t="s">
        <v>48</v>
      </c>
      <c r="B29" s="23">
        <v>0</v>
      </c>
      <c r="C29" s="20">
        <f ca="1">'2B'!C29+'2C'!B27+'2D'!B29</f>
        <v>0</v>
      </c>
      <c r="D29" s="20">
        <f t="shared" si="2"/>
        <v>0</v>
      </c>
      <c r="E29" s="23">
        <v>0</v>
      </c>
      <c r="F29" s="23">
        <v>0</v>
      </c>
      <c r="G29" s="20">
        <f t="shared" si="3"/>
        <v>0</v>
      </c>
      <c r="H29" s="20">
        <f ca="1">'2C'!C27</f>
        <v>0</v>
      </c>
      <c r="I29" s="21" t="s">
        <v>49</v>
      </c>
    </row>
    <row r="30" spans="1:9" ht="15.75">
      <c r="A30" s="24" t="s">
        <v>50</v>
      </c>
      <c r="B30" s="26">
        <f ca="1">B27+B23</f>
        <v>739978.36599999992</v>
      </c>
      <c r="C30" s="122">
        <f ca="1">C27+C23</f>
        <v>733352.36599999992</v>
      </c>
      <c r="D30" s="33">
        <f t="shared" si="2"/>
        <v>711845.36599999992</v>
      </c>
      <c r="E30" s="122">
        <f ca="1">E27+E23</f>
        <v>21507</v>
      </c>
      <c r="F30" s="114">
        <f ca="1">SUM(F29+F27+F26+F25+F24+F23)</f>
        <v>765329</v>
      </c>
      <c r="G30" s="123">
        <f t="shared" si="3"/>
        <v>736342</v>
      </c>
      <c r="H30" s="114">
        <f ca="1">SUM(H23+H24+H25+H27)</f>
        <v>28987</v>
      </c>
    </row>
    <row r="31" spans="1:9" ht="15.75">
      <c r="A31" s="19" t="s">
        <v>179</v>
      </c>
      <c r="B31" s="23">
        <v>0</v>
      </c>
      <c r="C31" s="117">
        <f ca="1">'2B'!C31+'2C'!B29+'2D'!B32</f>
        <v>2435</v>
      </c>
      <c r="D31" s="117"/>
      <c r="E31" s="117"/>
      <c r="F31" s="117">
        <f ca="1">'2B'!D31+'2C'!C29+'2D'!C32</f>
        <v>4510</v>
      </c>
      <c r="G31" s="20">
        <f t="shared" si="3"/>
        <v>4510</v>
      </c>
      <c r="H31" s="117">
        <v>0</v>
      </c>
    </row>
    <row r="32" spans="1:9" ht="15.75">
      <c r="A32" s="34" t="s">
        <v>53</v>
      </c>
      <c r="B32" s="29">
        <f>B30+B31</f>
        <v>739978.36599999992</v>
      </c>
      <c r="C32" s="121">
        <f>C30+C31</f>
        <v>735787.36599999992</v>
      </c>
      <c r="D32" s="121">
        <f>C32-E32</f>
        <v>714280.36599999992</v>
      </c>
      <c r="E32" s="121">
        <f>E30+E31</f>
        <v>21507</v>
      </c>
      <c r="F32" s="121">
        <f>SUM(F30:F31)</f>
        <v>769839</v>
      </c>
      <c r="G32" s="28">
        <f t="shared" si="3"/>
        <v>740852</v>
      </c>
      <c r="H32" s="121">
        <f>SUM(H30:H31)</f>
        <v>28987</v>
      </c>
    </row>
    <row r="33" spans="1:8" ht="15.75">
      <c r="A33" s="35"/>
      <c r="B33" s="36"/>
      <c r="C33" s="36"/>
      <c r="D33" s="36"/>
      <c r="E33" s="36"/>
      <c r="F33" s="36"/>
      <c r="G33" s="36"/>
      <c r="H33" s="36"/>
    </row>
    <row r="35" spans="1:8">
      <c r="A35" t="s">
        <v>195</v>
      </c>
    </row>
    <row r="36" spans="1:8">
      <c r="B36" s="1" t="s">
        <v>127</v>
      </c>
    </row>
    <row r="37" spans="1:8">
      <c r="A37" s="130"/>
      <c r="B37" s="130"/>
      <c r="C37" s="130"/>
      <c r="D37"/>
      <c r="E37"/>
      <c r="F37"/>
      <c r="G37"/>
      <c r="H37"/>
    </row>
    <row r="38" spans="1:8">
      <c r="B38" s="1" t="s">
        <v>126</v>
      </c>
    </row>
    <row r="39" spans="1:8">
      <c r="B39" s="1" t="s">
        <v>122</v>
      </c>
    </row>
    <row r="40" spans="1:8">
      <c r="B40" s="1" t="s">
        <v>123</v>
      </c>
    </row>
    <row r="41" spans="1:8">
      <c r="B41" s="1" t="s">
        <v>128</v>
      </c>
    </row>
    <row r="42" spans="1:8">
      <c r="B42" s="1" t="s">
        <v>122</v>
      </c>
    </row>
  </sheetData>
  <mergeCells count="7">
    <mergeCell ref="A37:C37"/>
    <mergeCell ref="B1:C1"/>
    <mergeCell ref="A3:C3"/>
    <mergeCell ref="A4:C4"/>
    <mergeCell ref="A5:C5"/>
    <mergeCell ref="A6:C6"/>
    <mergeCell ref="A8:C8"/>
  </mergeCells>
  <phoneticPr fontId="20" type="noConversion"/>
  <pageMargins left="0.70826771653543308" right="0.70826771653543308" top="1.1417322834645671" bottom="1.1417322834645671" header="0.74803149606299213" footer="0.74803149606299213"/>
  <pageSetup paperSize="9" scale="95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54"/>
  <sheetViews>
    <sheetView workbookViewId="0">
      <selection activeCell="A5" sqref="A5:C5"/>
    </sheetView>
  </sheetViews>
  <sheetFormatPr defaultColWidth="8.75" defaultRowHeight="15"/>
  <cols>
    <col min="1" max="1" width="48" style="1" customWidth="1"/>
    <col min="2" max="2" width="14.875" style="1" hidden="1" customWidth="1"/>
    <col min="3" max="4" width="16.875" style="1" customWidth="1"/>
    <col min="5" max="5" width="8.75" style="1" customWidth="1"/>
    <col min="6" max="6" width="15.125" style="1" customWidth="1"/>
    <col min="7" max="16384" width="8.75" style="1"/>
  </cols>
  <sheetData>
    <row r="1" spans="1:256">
      <c r="B1" s="128" t="s">
        <v>54</v>
      </c>
      <c r="C1" s="128"/>
      <c r="D1" s="3"/>
    </row>
    <row r="2" spans="1:256">
      <c r="B2" s="2"/>
    </row>
    <row r="3" spans="1:256">
      <c r="A3" s="128" t="s">
        <v>1</v>
      </c>
      <c r="B3" s="128"/>
      <c r="C3" s="128"/>
      <c r="D3" s="3"/>
    </row>
    <row r="4" spans="1:256">
      <c r="A4" s="128" t="s">
        <v>208</v>
      </c>
      <c r="B4" s="128"/>
      <c r="C4" s="128"/>
      <c r="D4" s="3"/>
    </row>
    <row r="5" spans="1:256" ht="15.75">
      <c r="A5" s="131" t="s">
        <v>13</v>
      </c>
      <c r="B5" s="131"/>
      <c r="C5" s="131"/>
      <c r="D5" s="12"/>
    </row>
    <row r="6" spans="1:256" ht="15.75">
      <c r="A6" s="131" t="s">
        <v>14</v>
      </c>
      <c r="B6" s="131"/>
      <c r="C6" s="131"/>
      <c r="D6" s="12"/>
    </row>
    <row r="8" spans="1:256" ht="15.75">
      <c r="B8" s="12"/>
      <c r="C8" s="12" t="s">
        <v>55</v>
      </c>
      <c r="D8" s="12" t="s">
        <v>55</v>
      </c>
    </row>
    <row r="9" spans="1:256">
      <c r="A9" s="37" t="s">
        <v>56</v>
      </c>
      <c r="B9" s="37"/>
      <c r="C9" s="38"/>
      <c r="D9" s="38"/>
    </row>
    <row r="10" spans="1:256" ht="15.75">
      <c r="A10" s="14" t="s">
        <v>6</v>
      </c>
      <c r="B10" s="39" t="s">
        <v>18</v>
      </c>
      <c r="C10" s="39" t="s">
        <v>18</v>
      </c>
      <c r="D10" s="39" t="s">
        <v>177</v>
      </c>
      <c r="E10" s="15" t="s">
        <v>19</v>
      </c>
    </row>
    <row r="11" spans="1:256" ht="31.5">
      <c r="A11" s="16"/>
      <c r="B11" s="40" t="s">
        <v>20</v>
      </c>
      <c r="C11" s="40" t="s">
        <v>124</v>
      </c>
      <c r="D11" s="40" t="s">
        <v>124</v>
      </c>
      <c r="E11" s="18" t="s">
        <v>125</v>
      </c>
    </row>
    <row r="12" spans="1:256" ht="15.75">
      <c r="A12" s="19" t="s">
        <v>21</v>
      </c>
      <c r="B12" s="23">
        <v>264817</v>
      </c>
      <c r="C12" s="23">
        <f>'[1]KESZI költségvetés'!$D$9</f>
        <v>286274</v>
      </c>
      <c r="D12" s="23">
        <v>293850</v>
      </c>
      <c r="E12" s="21" t="s">
        <v>22</v>
      </c>
    </row>
    <row r="13" spans="1:256" ht="15.75">
      <c r="A13" s="19" t="s">
        <v>23</v>
      </c>
      <c r="B13" s="23">
        <v>69967</v>
      </c>
      <c r="C13" s="23">
        <f>'[1]KESZI költségvetés'!$D$10</f>
        <v>77778</v>
      </c>
      <c r="D13" s="23">
        <v>79250</v>
      </c>
      <c r="E13" s="21" t="s">
        <v>24</v>
      </c>
    </row>
    <row r="14" spans="1:256" ht="15.75">
      <c r="A14" s="19" t="s">
        <v>25</v>
      </c>
      <c r="B14" s="23">
        <f>SUM(200046)</f>
        <v>200046</v>
      </c>
      <c r="C14" s="23">
        <f>'[1]KESZI költségvetés'!$D$16</f>
        <v>188626</v>
      </c>
      <c r="D14" s="23">
        <v>187866</v>
      </c>
      <c r="E14" s="21" t="s">
        <v>26</v>
      </c>
    </row>
    <row r="15" spans="1:256" ht="15.75">
      <c r="A15" s="19" t="s">
        <v>205</v>
      </c>
      <c r="B15" s="23">
        <v>570</v>
      </c>
      <c r="C15" s="23">
        <f>'[1]KESZI költségvetés'!$D$17</f>
        <v>700</v>
      </c>
      <c r="D15" s="23">
        <v>700</v>
      </c>
      <c r="E15" s="21" t="s">
        <v>28</v>
      </c>
    </row>
    <row r="16" spans="1:256" customFormat="1" ht="15.75">
      <c r="A16" s="19" t="s">
        <v>207</v>
      </c>
      <c r="B16" s="23"/>
      <c r="C16" s="23">
        <v>0</v>
      </c>
      <c r="D16" s="23">
        <v>344</v>
      </c>
      <c r="E16" s="21" t="s">
        <v>178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5" ht="30">
      <c r="A17" s="19" t="s">
        <v>29</v>
      </c>
      <c r="B17" s="23">
        <v>0</v>
      </c>
      <c r="C17" s="23">
        <f>'[1]KESZI költségvetés'!$D$18</f>
        <v>2435</v>
      </c>
      <c r="D17" s="23">
        <f>1350+2187</f>
        <v>3537</v>
      </c>
      <c r="E17" s="22" t="s">
        <v>30</v>
      </c>
    </row>
    <row r="18" spans="1:5" ht="15.75">
      <c r="A18" s="19" t="s">
        <v>31</v>
      </c>
      <c r="B18" s="23">
        <v>0</v>
      </c>
      <c r="C18" s="23">
        <v>0</v>
      </c>
      <c r="D18" s="23">
        <v>0</v>
      </c>
      <c r="E18" s="21" t="s">
        <v>32</v>
      </c>
    </row>
    <row r="19" spans="1:5" ht="15.75">
      <c r="A19" s="24" t="s">
        <v>33</v>
      </c>
      <c r="B19" s="25">
        <f>SUM(B12:B18)</f>
        <v>535400</v>
      </c>
      <c r="C19" s="25">
        <f>SUM(C12:C18)</f>
        <v>555813</v>
      </c>
      <c r="D19" s="25">
        <f>SUM(D12:D18)</f>
        <v>565547</v>
      </c>
    </row>
    <row r="20" spans="1:5" ht="15.75" hidden="1">
      <c r="A20" s="19" t="s">
        <v>36</v>
      </c>
      <c r="B20" s="20" t="s">
        <v>37</v>
      </c>
      <c r="C20" s="20" t="s">
        <v>37</v>
      </c>
      <c r="D20" s="115"/>
    </row>
    <row r="21" spans="1:5" ht="15.75">
      <c r="A21" s="31" t="s">
        <v>38</v>
      </c>
      <c r="B21" s="28">
        <f>SUM(B19)</f>
        <v>535400</v>
      </c>
      <c r="C21" s="28">
        <f>SUM(C19)</f>
        <v>555813</v>
      </c>
      <c r="D21" s="28">
        <f>SUM(D19)</f>
        <v>565547</v>
      </c>
    </row>
    <row r="22" spans="1:5" ht="15.75">
      <c r="A22" s="32"/>
      <c r="B22" s="30"/>
      <c r="C22" s="30"/>
      <c r="D22" s="30"/>
    </row>
    <row r="23" spans="1:5" ht="15.75">
      <c r="A23" s="19" t="s">
        <v>39</v>
      </c>
      <c r="B23" s="23">
        <v>201101</v>
      </c>
      <c r="C23" s="23">
        <f>'[1]KESZI költségvetés'!$D$22</f>
        <v>197930</v>
      </c>
      <c r="D23" s="23">
        <v>197930</v>
      </c>
      <c r="E23" s="21" t="s">
        <v>40</v>
      </c>
    </row>
    <row r="24" spans="1:5" ht="45">
      <c r="A24" s="19" t="s">
        <v>42</v>
      </c>
      <c r="B24" s="23">
        <v>0</v>
      </c>
      <c r="C24" s="23">
        <v>0</v>
      </c>
      <c r="D24" s="23">
        <v>0</v>
      </c>
      <c r="E24" s="22" t="s">
        <v>43</v>
      </c>
    </row>
    <row r="25" spans="1:5" ht="15.75">
      <c r="A25" s="19" t="s">
        <v>44</v>
      </c>
      <c r="B25" s="23">
        <v>0</v>
      </c>
      <c r="C25" s="23">
        <v>0</v>
      </c>
      <c r="D25" s="23">
        <v>0</v>
      </c>
      <c r="E25" s="21"/>
    </row>
    <row r="26" spans="1:5" ht="15.75">
      <c r="A26" s="19" t="s">
        <v>45</v>
      </c>
      <c r="B26" s="23">
        <f>SUM(50763-12615)</f>
        <v>38148</v>
      </c>
      <c r="C26" s="23">
        <f>'[1]KESZI költségvetés'!$D$21+'[1]KESZI költségvetés'!$D$23</f>
        <v>34693</v>
      </c>
      <c r="D26" s="23">
        <v>35243</v>
      </c>
      <c r="E26" s="21" t="s">
        <v>57</v>
      </c>
    </row>
    <row r="27" spans="1:5" ht="15.75">
      <c r="A27" s="19" t="s">
        <v>47</v>
      </c>
      <c r="B27" s="23">
        <v>0</v>
      </c>
      <c r="C27" s="23">
        <v>10091</v>
      </c>
      <c r="D27" s="23">
        <v>10091</v>
      </c>
      <c r="E27" s="21"/>
    </row>
    <row r="28" spans="1:5" ht="15.75">
      <c r="A28" s="19" t="s">
        <v>58</v>
      </c>
      <c r="B28" s="23">
        <f>SUM(283536+12615)</f>
        <v>296151</v>
      </c>
      <c r="C28" s="23">
        <f>'[1]KESZI költségvetés'!$D$25+'[1]KESZI költségvetés'!$D$26+'[1]KESZI költségvetés'!$D$27+'[1]KESZI költségvetés'!$D$28</f>
        <v>320755</v>
      </c>
      <c r="D28" s="23">
        <v>331537</v>
      </c>
      <c r="E28" s="21" t="s">
        <v>46</v>
      </c>
    </row>
    <row r="29" spans="1:5" ht="15.75">
      <c r="A29" s="19" t="s">
        <v>48</v>
      </c>
      <c r="B29" s="23">
        <v>0</v>
      </c>
      <c r="C29" s="23">
        <v>0</v>
      </c>
      <c r="D29" s="23">
        <v>0</v>
      </c>
      <c r="E29" s="21" t="s">
        <v>49</v>
      </c>
    </row>
    <row r="30" spans="1:5" ht="15.75">
      <c r="A30" s="24" t="s">
        <v>50</v>
      </c>
      <c r="B30" s="25">
        <f>SUM(B29+B28+B26+B24+B23)</f>
        <v>535400</v>
      </c>
      <c r="C30" s="25">
        <f>SUM(C29+C28+C26+C24+C23)</f>
        <v>553378</v>
      </c>
      <c r="D30" s="116">
        <f>SUM(D29+D28+D26+D24+D23)</f>
        <v>564710</v>
      </c>
    </row>
    <row r="31" spans="1:5" ht="15.75">
      <c r="A31" s="19" t="s">
        <v>179</v>
      </c>
      <c r="B31" s="20">
        <v>0</v>
      </c>
      <c r="C31" s="23">
        <f>'[1]KESZI költségvetés'!$D$24</f>
        <v>2435</v>
      </c>
      <c r="D31" s="117">
        <v>837</v>
      </c>
      <c r="E31" s="82" t="s">
        <v>180</v>
      </c>
    </row>
    <row r="32" spans="1:5" ht="15.75" hidden="1">
      <c r="A32" s="19" t="s">
        <v>52</v>
      </c>
      <c r="B32" s="20" t="s">
        <v>37</v>
      </c>
      <c r="C32" s="20" t="s">
        <v>37</v>
      </c>
      <c r="D32" s="115"/>
    </row>
    <row r="33" spans="1:256" ht="15.75">
      <c r="A33" s="34" t="s">
        <v>53</v>
      </c>
      <c r="B33" s="28">
        <f>B30+B31</f>
        <v>535400</v>
      </c>
      <c r="C33" s="28">
        <f>C30+C31</f>
        <v>555813</v>
      </c>
      <c r="D33" s="28">
        <f>D30+D31</f>
        <v>565547</v>
      </c>
    </row>
    <row r="36" spans="1:256" ht="30">
      <c r="A36" s="89" t="s">
        <v>131</v>
      </c>
      <c r="B36" s="2" t="s">
        <v>59</v>
      </c>
    </row>
    <row r="37" spans="1:256">
      <c r="B37" s="2" t="s">
        <v>129</v>
      </c>
      <c r="C37" s="2" t="s">
        <v>191</v>
      </c>
      <c r="D37" s="2" t="s">
        <v>192</v>
      </c>
    </row>
    <row r="38" spans="1:256">
      <c r="A38" s="42" t="s">
        <v>60</v>
      </c>
      <c r="B38" s="81">
        <v>27403200</v>
      </c>
      <c r="C38" s="84">
        <f>[2]Munka1!$E$18</f>
        <v>25941696</v>
      </c>
      <c r="D38" s="84">
        <f>[2]Munka1!$E$18</f>
        <v>25941696</v>
      </c>
    </row>
    <row r="39" spans="1:256">
      <c r="A39" s="42" t="s">
        <v>61</v>
      </c>
      <c r="B39" s="81">
        <v>34872500</v>
      </c>
      <c r="C39" s="84">
        <f>[2]Munka1!$E$19</f>
        <v>36192000</v>
      </c>
      <c r="D39" s="84">
        <f>[2]Munka1!$E$19</f>
        <v>36192000</v>
      </c>
    </row>
    <row r="40" spans="1:256">
      <c r="A40" s="42" t="s">
        <v>62</v>
      </c>
      <c r="B40" s="81">
        <v>7357500</v>
      </c>
      <c r="C40" s="84">
        <f>[2]Munka1!$E$20</f>
        <v>6213000</v>
      </c>
      <c r="D40" s="84">
        <f>[2]Munka1!$E$20</f>
        <v>6213000</v>
      </c>
    </row>
    <row r="41" spans="1:256">
      <c r="A41" s="43" t="s">
        <v>64</v>
      </c>
      <c r="B41" s="81">
        <f>SUM(6050000+4180000+12100000)</f>
        <v>22330000</v>
      </c>
      <c r="C41" s="84">
        <f>[2]Munka1!$E$21+[2]Munka1!$E$22+[2]Munka1!$E$23</f>
        <v>24970000</v>
      </c>
      <c r="D41" s="84">
        <f>[2]Munka1!$E$21+[2]Munka1!$E$22+[2]Munka1!$E$23</f>
        <v>24970000</v>
      </c>
    </row>
    <row r="42" spans="1:256">
      <c r="A42" s="42" t="s">
        <v>65</v>
      </c>
      <c r="B42" s="81">
        <v>11129400</v>
      </c>
      <c r="C42" s="84">
        <f>[2]Munka1!$E$24</f>
        <v>8903520</v>
      </c>
      <c r="D42" s="84">
        <f>[2]Munka1!$E$24</f>
        <v>8903520</v>
      </c>
    </row>
    <row r="43" spans="1:256">
      <c r="A43" s="42" t="s">
        <v>66</v>
      </c>
      <c r="B43" s="81">
        <v>20607400</v>
      </c>
      <c r="C43" s="84">
        <f>[2]Munka1!$E$25</f>
        <v>20607400</v>
      </c>
      <c r="D43" s="84">
        <f>[2]Munka1!$E$25</f>
        <v>20607400</v>
      </c>
      <c r="F43" s="119">
        <f>SUM(D38:D45,D47,D49)</f>
        <v>250133953</v>
      </c>
    </row>
    <row r="44" spans="1:256">
      <c r="A44" s="42" t="s">
        <v>67</v>
      </c>
      <c r="B44" s="81">
        <v>83393280</v>
      </c>
      <c r="C44" s="84">
        <f>[2]Munka1!$E$26</f>
        <v>83393280</v>
      </c>
      <c r="D44" s="84">
        <f>[2]Munka1!$E$26</f>
        <v>83393280</v>
      </c>
    </row>
    <row r="45" spans="1:256">
      <c r="A45" s="43" t="s">
        <v>68</v>
      </c>
      <c r="B45" s="81">
        <v>19973000</v>
      </c>
      <c r="C45" s="84">
        <v>25725104</v>
      </c>
      <c r="D45" s="84">
        <v>25725104</v>
      </c>
    </row>
    <row r="46" spans="1:256">
      <c r="A46" s="21" t="s">
        <v>69</v>
      </c>
      <c r="B46" s="81">
        <v>56470000</v>
      </c>
      <c r="C46" s="83">
        <f>'[1]KESZI költségvetés'!$D$27*1000</f>
        <v>72513000</v>
      </c>
      <c r="D46" s="83">
        <f>'[1]KESZI költségvetés'!$D$27*1000</f>
        <v>72513000</v>
      </c>
    </row>
    <row r="47" spans="1:256">
      <c r="A47" s="85" t="s">
        <v>70</v>
      </c>
      <c r="B47" s="86">
        <v>12615000</v>
      </c>
      <c r="C47" s="87">
        <f>'[1]KESZI költségvetés'!$D$26*1000</f>
        <v>12615000</v>
      </c>
      <c r="D47" s="87">
        <f>'[1]KESZI költségvetés'!$D$26*1000</f>
        <v>12615000</v>
      </c>
    </row>
    <row r="48" spans="1:256" customFormat="1">
      <c r="A48" s="82" t="s">
        <v>130</v>
      </c>
      <c r="B48" s="88"/>
      <c r="C48" s="83">
        <f>'[1]KESZI költségvetés'!$D$28*1000</f>
        <v>3681000</v>
      </c>
      <c r="D48" s="83">
        <f>'[1]KESZI költségvetés'!$D$28*1000</f>
        <v>3681000</v>
      </c>
      <c r="E48" s="1"/>
      <c r="F48" s="1">
        <f>D48+D50+D51</f>
        <v>8890238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customFormat="1">
      <c r="A49" s="82" t="s">
        <v>185</v>
      </c>
      <c r="B49" s="88"/>
      <c r="C49" s="83"/>
      <c r="D49" s="83">
        <v>5572953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customFormat="1">
      <c r="A50" s="82" t="s">
        <v>193</v>
      </c>
      <c r="B50" s="88"/>
      <c r="C50" s="83"/>
      <c r="D50" s="83">
        <v>3269344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customFormat="1">
      <c r="A51" s="82" t="s">
        <v>194</v>
      </c>
      <c r="B51" s="88"/>
      <c r="C51" s="83"/>
      <c r="D51" s="83">
        <v>1939894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>
      <c r="B52" s="44">
        <f>SUM(B38:B47)</f>
        <v>296151280</v>
      </c>
      <c r="C52" s="44">
        <f>SUM(C38:C48)</f>
        <v>320755000</v>
      </c>
      <c r="D52" s="44">
        <f>SUM(D38:D51)</f>
        <v>331537191</v>
      </c>
    </row>
    <row r="54" spans="1:256">
      <c r="A54" s="1" t="s">
        <v>181</v>
      </c>
    </row>
  </sheetData>
  <mergeCells count="5">
    <mergeCell ref="A6:C6"/>
    <mergeCell ref="B1:C1"/>
    <mergeCell ref="A3:C3"/>
    <mergeCell ref="A4:C4"/>
    <mergeCell ref="A5:C5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43"/>
  <sheetViews>
    <sheetView topLeftCell="A25" workbookViewId="0">
      <selection activeCell="A5" sqref="A5:C5"/>
    </sheetView>
  </sheetViews>
  <sheetFormatPr defaultColWidth="8.75" defaultRowHeight="15"/>
  <cols>
    <col min="1" max="1" width="53.625" style="1" customWidth="1"/>
    <col min="2" max="2" width="13.875" style="1" customWidth="1"/>
    <col min="3" max="3" width="15" style="1" customWidth="1"/>
    <col min="4" max="5" width="8.75" style="1" customWidth="1"/>
    <col min="6" max="6" width="12.25" style="1" customWidth="1"/>
    <col min="7" max="7" width="12.5" style="1" customWidth="1"/>
    <col min="8" max="16384" width="8.75" style="1"/>
  </cols>
  <sheetData>
    <row r="1" spans="1:256">
      <c r="B1" s="128" t="s">
        <v>71</v>
      </c>
      <c r="C1" s="128"/>
    </row>
    <row r="2" spans="1:256">
      <c r="B2" s="2"/>
    </row>
    <row r="3" spans="1:256">
      <c r="A3" s="128" t="s">
        <v>1</v>
      </c>
      <c r="B3" s="128"/>
      <c r="C3" s="128"/>
    </row>
    <row r="4" spans="1:256">
      <c r="A4" s="128" t="s">
        <v>206</v>
      </c>
      <c r="B4" s="128"/>
      <c r="C4" s="128"/>
    </row>
    <row r="5" spans="1:256" ht="15.75">
      <c r="A5" s="131" t="s">
        <v>13</v>
      </c>
      <c r="B5" s="131"/>
      <c r="C5" s="131"/>
    </row>
    <row r="6" spans="1:256" ht="15.75">
      <c r="A6" s="131" t="s">
        <v>14</v>
      </c>
      <c r="B6" s="131"/>
      <c r="C6" s="131"/>
    </row>
    <row r="8" spans="1:256" ht="15.75">
      <c r="B8" s="12"/>
      <c r="C8" s="12" t="s">
        <v>55</v>
      </c>
    </row>
    <row r="9" spans="1:256" ht="15.75" customHeight="1">
      <c r="A9" s="132" t="s">
        <v>72</v>
      </c>
      <c r="B9" s="132"/>
      <c r="C9" s="132"/>
    </row>
    <row r="10" spans="1:256" ht="15.75">
      <c r="A10" s="14" t="s">
        <v>6</v>
      </c>
      <c r="B10" s="14" t="s">
        <v>18</v>
      </c>
      <c r="C10" s="14" t="s">
        <v>177</v>
      </c>
      <c r="D10" s="15" t="s">
        <v>19</v>
      </c>
    </row>
    <row r="11" spans="1:256" ht="31.5">
      <c r="A11" s="16"/>
      <c r="B11" s="17" t="s">
        <v>124</v>
      </c>
      <c r="C11" s="17" t="s">
        <v>124</v>
      </c>
      <c r="D11" s="18" t="s">
        <v>125</v>
      </c>
    </row>
    <row r="12" spans="1:256" ht="15.75">
      <c r="A12" s="19" t="s">
        <v>21</v>
      </c>
      <c r="B12" s="20">
        <f>'[1]KGYCSSZK költségvetés'!$F$4/1000</f>
        <v>97862.313999999998</v>
      </c>
      <c r="C12" s="20">
        <v>101752</v>
      </c>
      <c r="D12" s="21" t="s">
        <v>22</v>
      </c>
    </row>
    <row r="13" spans="1:256" ht="15.75">
      <c r="A13" s="19" t="s">
        <v>23</v>
      </c>
      <c r="B13" s="20">
        <f>'[1]KGYCSSZK költségvetés'!$F$5/1000</f>
        <v>24495.052</v>
      </c>
      <c r="C13" s="20">
        <v>25324</v>
      </c>
      <c r="D13" s="21" t="s">
        <v>24</v>
      </c>
    </row>
    <row r="14" spans="1:256" ht="15.75">
      <c r="A14" s="19" t="s">
        <v>25</v>
      </c>
      <c r="B14" s="20">
        <f>'[1]KGYCSSZK költségvetés'!$F$19/1000</f>
        <v>18677</v>
      </c>
      <c r="C14" s="20">
        <v>20701</v>
      </c>
      <c r="D14" s="21" t="s">
        <v>26</v>
      </c>
    </row>
    <row r="15" spans="1:256" ht="15.75">
      <c r="A15" s="19" t="s">
        <v>205</v>
      </c>
      <c r="B15" s="20">
        <f>'[1]KGYCSSZK költségvetés'!$F$20/1000</f>
        <v>420</v>
      </c>
      <c r="C15" s="20">
        <f>'[1]KGYCSSZK költségvetés'!$F$20/1000</f>
        <v>420</v>
      </c>
      <c r="D15" s="21" t="s">
        <v>28</v>
      </c>
    </row>
    <row r="16" spans="1:256" customFormat="1" ht="15.75">
      <c r="A16" s="19" t="s">
        <v>207</v>
      </c>
      <c r="B16" s="20"/>
      <c r="C16" s="20">
        <v>168</v>
      </c>
      <c r="D16" s="21" t="s">
        <v>178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4" ht="30">
      <c r="A17" s="19" t="s">
        <v>29</v>
      </c>
      <c r="B17" s="20">
        <v>0</v>
      </c>
      <c r="C17" s="20">
        <f>270+4086</f>
        <v>4356</v>
      </c>
      <c r="D17" s="22" t="s">
        <v>30</v>
      </c>
    </row>
    <row r="18" spans="1:4" ht="15.75">
      <c r="A18" s="24" t="s">
        <v>33</v>
      </c>
      <c r="B18" s="25">
        <f>SUM(B12:B17)</f>
        <v>141454.36599999998</v>
      </c>
      <c r="C18" s="25">
        <f>SUM(C12:C17)</f>
        <v>152721</v>
      </c>
    </row>
    <row r="19" spans="1:4" ht="15.75">
      <c r="A19" s="31" t="s">
        <v>38</v>
      </c>
      <c r="B19" s="28">
        <f>B18</f>
        <v>141454.36599999998</v>
      </c>
      <c r="C19" s="28">
        <f>C18</f>
        <v>152721</v>
      </c>
    </row>
    <row r="20" spans="1:4" ht="15.75">
      <c r="A20" s="32"/>
      <c r="B20" s="30"/>
      <c r="C20" s="30"/>
    </row>
    <row r="21" spans="1:4" ht="15.75">
      <c r="A21" s="19" t="s">
        <v>39</v>
      </c>
      <c r="B21" s="23">
        <f>'[1]KGYCSSZK költségvetés'!$F$25/1000+'[1]KGYCSSZK költségvetés'!$F$24/1000</f>
        <v>2240</v>
      </c>
      <c r="C21" s="23">
        <v>1825</v>
      </c>
      <c r="D21" s="21" t="s">
        <v>40</v>
      </c>
    </row>
    <row r="22" spans="1:4" ht="45">
      <c r="A22" s="19" t="s">
        <v>42</v>
      </c>
      <c r="B22" s="20">
        <v>0</v>
      </c>
      <c r="C22" s="20">
        <v>0</v>
      </c>
      <c r="D22" s="22" t="s">
        <v>43</v>
      </c>
    </row>
    <row r="23" spans="1:4" ht="15.75">
      <c r="A23" s="19" t="s">
        <v>44</v>
      </c>
      <c r="B23" s="20">
        <v>0</v>
      </c>
      <c r="C23" s="20">
        <v>0</v>
      </c>
      <c r="D23" s="21"/>
    </row>
    <row r="24" spans="1:4" ht="15.75">
      <c r="A24" s="19" t="s">
        <v>45</v>
      </c>
      <c r="B24" s="20">
        <f>'[1]KGYCSSZK költségvetés'!$F$23/1000</f>
        <v>370</v>
      </c>
      <c r="C24" s="20">
        <f>1250+1414</f>
        <v>2664</v>
      </c>
      <c r="D24" s="21" t="s">
        <v>57</v>
      </c>
    </row>
    <row r="25" spans="1:4" ht="15.75">
      <c r="A25" s="19" t="s">
        <v>47</v>
      </c>
      <c r="B25" s="20">
        <v>0</v>
      </c>
      <c r="C25" s="20">
        <v>0</v>
      </c>
      <c r="D25" s="21"/>
    </row>
    <row r="26" spans="1:4" ht="15.75">
      <c r="A26" s="19" t="s">
        <v>73</v>
      </c>
      <c r="B26" s="20">
        <f>'[1]KGYCSSZK költségvetés'!$F$27/1000</f>
        <v>138844.36600000001</v>
      </c>
      <c r="C26" s="20">
        <v>147817</v>
      </c>
      <c r="D26" s="21" t="s">
        <v>46</v>
      </c>
    </row>
    <row r="27" spans="1:4" ht="15.75">
      <c r="A27" s="19" t="s">
        <v>48</v>
      </c>
      <c r="B27" s="20">
        <v>0</v>
      </c>
      <c r="C27" s="20">
        <v>0</v>
      </c>
      <c r="D27" s="21" t="s">
        <v>49</v>
      </c>
    </row>
    <row r="28" spans="1:4" ht="15.75">
      <c r="A28" s="24" t="s">
        <v>50</v>
      </c>
      <c r="B28" s="25">
        <f>SUM(B27,B26,B24,B21)</f>
        <v>141454.36600000001</v>
      </c>
      <c r="C28" s="25">
        <f>SUM(C27,C26,C24,C21)</f>
        <v>152306</v>
      </c>
    </row>
    <row r="29" spans="1:4" ht="15.75">
      <c r="A29" s="19" t="s">
        <v>179</v>
      </c>
      <c r="B29" s="20">
        <v>0</v>
      </c>
      <c r="C29" s="20">
        <v>415</v>
      </c>
    </row>
    <row r="30" spans="1:4" ht="15.75">
      <c r="A30" s="34" t="s">
        <v>53</v>
      </c>
      <c r="B30" s="28">
        <f>SUM(B28+B29)</f>
        <v>141454.36600000001</v>
      </c>
      <c r="C30" s="28">
        <f>SUM(C28+C29)</f>
        <v>152721</v>
      </c>
    </row>
    <row r="32" spans="1:4" ht="30">
      <c r="A32" s="89" t="s">
        <v>184</v>
      </c>
      <c r="B32" s="2" t="s">
        <v>59</v>
      </c>
    </row>
    <row r="33" spans="1:256" customFormat="1">
      <c r="A33" s="89"/>
      <c r="B33" s="2" t="s">
        <v>182</v>
      </c>
      <c r="C33" s="2" t="s">
        <v>183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>
      <c r="A34" s="45" t="s">
        <v>74</v>
      </c>
      <c r="B34" s="81">
        <v>78138520</v>
      </c>
      <c r="C34" s="83">
        <f>[2]Munka1!$E$6+[2]Munka1!$E$7+[2]Munka1!$E$8+[2]Munka1!$E$9</f>
        <v>78138520</v>
      </c>
    </row>
    <row r="35" spans="1:256">
      <c r="A35" s="21" t="s">
        <v>69</v>
      </c>
      <c r="B35" s="81">
        <v>42261266</v>
      </c>
      <c r="C35" s="83">
        <f>'[1]KGYCSSZK költségvetés'!$F$32</f>
        <v>42261266</v>
      </c>
    </row>
    <row r="36" spans="1:256">
      <c r="A36" s="85" t="s">
        <v>186</v>
      </c>
      <c r="B36" s="86">
        <v>7282500</v>
      </c>
      <c r="C36" s="87">
        <f>'[1]KGYCSSZK költségvetés'!$F$31</f>
        <v>7282500</v>
      </c>
    </row>
    <row r="37" spans="1:256" customFormat="1" ht="30">
      <c r="A37" s="92" t="s">
        <v>187</v>
      </c>
      <c r="B37" s="88">
        <v>11162080</v>
      </c>
      <c r="C37" s="88">
        <v>11162080</v>
      </c>
      <c r="D37" s="1"/>
      <c r="E37" s="1"/>
      <c r="F37" s="119">
        <f>SUM(C34+C37+C40)</f>
        <v>92387288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customFormat="1">
      <c r="A38" s="82" t="s">
        <v>189</v>
      </c>
      <c r="B38" s="88"/>
      <c r="C38" s="83">
        <v>4086225</v>
      </c>
      <c r="D38" s="1"/>
      <c r="E38" s="1"/>
      <c r="F38" s="1">
        <f>C36+C39+C38</f>
        <v>13168911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customFormat="1">
      <c r="A39" s="82" t="s">
        <v>190</v>
      </c>
      <c r="B39" s="88"/>
      <c r="C39" s="83">
        <v>1800186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customFormat="1">
      <c r="A40" s="82" t="s">
        <v>188</v>
      </c>
      <c r="B40" s="88"/>
      <c r="C40" s="83">
        <v>3086688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>
      <c r="A41" s="1" t="s">
        <v>75</v>
      </c>
      <c r="B41" s="44">
        <f>SUM(B34:B38)</f>
        <v>138844366</v>
      </c>
      <c r="C41" s="44">
        <f>SUM(C34:C40)</f>
        <v>147817465</v>
      </c>
    </row>
    <row r="43" spans="1:256">
      <c r="A43" s="1" t="s">
        <v>181</v>
      </c>
      <c r="G43" s="119"/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5" sqref="A5:C5"/>
    </sheetView>
  </sheetViews>
  <sheetFormatPr defaultColWidth="8.75" defaultRowHeight="15"/>
  <cols>
    <col min="1" max="1" width="59.125" style="1" customWidth="1"/>
    <col min="2" max="2" width="14" style="1" customWidth="1"/>
    <col min="3" max="3" width="15.125" style="1" customWidth="1"/>
    <col min="4" max="16384" width="8.75" style="1"/>
  </cols>
  <sheetData>
    <row r="1" spans="1:5">
      <c r="B1" s="128" t="s">
        <v>76</v>
      </c>
      <c r="C1" s="128"/>
    </row>
    <row r="2" spans="1:5">
      <c r="B2" s="2"/>
    </row>
    <row r="3" spans="1:5">
      <c r="A3" s="128" t="s">
        <v>1</v>
      </c>
      <c r="B3" s="128"/>
      <c r="C3" s="128"/>
    </row>
    <row r="4" spans="1:5">
      <c r="A4" s="128" t="s">
        <v>206</v>
      </c>
      <c r="B4" s="128"/>
      <c r="C4" s="128"/>
    </row>
    <row r="5" spans="1:5" ht="15.75">
      <c r="A5" s="131" t="s">
        <v>13</v>
      </c>
      <c r="B5" s="131"/>
      <c r="C5" s="131"/>
    </row>
    <row r="6" spans="1:5" ht="15.75">
      <c r="A6" s="131" t="s">
        <v>14</v>
      </c>
      <c r="B6" s="131"/>
      <c r="C6" s="131"/>
    </row>
    <row r="8" spans="1:5" ht="31.5">
      <c r="B8" s="12"/>
      <c r="C8" s="46" t="s">
        <v>77</v>
      </c>
    </row>
    <row r="9" spans="1:5" ht="15.75" customHeight="1">
      <c r="A9" s="132" t="s">
        <v>8</v>
      </c>
      <c r="B9" s="132"/>
      <c r="C9" s="132"/>
    </row>
    <row r="10" spans="1:5" ht="15.75">
      <c r="A10" s="14" t="s">
        <v>6</v>
      </c>
      <c r="B10" s="39" t="s">
        <v>18</v>
      </c>
      <c r="C10" s="39" t="s">
        <v>177</v>
      </c>
      <c r="D10" s="15" t="s">
        <v>19</v>
      </c>
    </row>
    <row r="11" spans="1:5" ht="31.5">
      <c r="A11" s="16"/>
      <c r="B11" s="40" t="s">
        <v>124</v>
      </c>
      <c r="C11" s="40" t="s">
        <v>124</v>
      </c>
      <c r="D11" s="18" t="s">
        <v>125</v>
      </c>
    </row>
    <row r="12" spans="1:5" ht="15.75">
      <c r="A12" s="19" t="s">
        <v>21</v>
      </c>
      <c r="B12" s="23">
        <f>[1]Munka1!$C$6/1000</f>
        <v>1000</v>
      </c>
      <c r="C12" s="23">
        <f>[1]Munka1!$C$6/1000</f>
        <v>1000</v>
      </c>
      <c r="D12" s="21" t="s">
        <v>22</v>
      </c>
      <c r="E12" s="1" t="s">
        <v>78</v>
      </c>
    </row>
    <row r="13" spans="1:5" ht="15.75">
      <c r="A13" s="19" t="s">
        <v>23</v>
      </c>
      <c r="B13" s="23">
        <f>[1]Munka1!$C$11/1000</f>
        <v>511.7</v>
      </c>
      <c r="C13" s="23">
        <f>[1]Munka1!$C$11/1000</f>
        <v>511.7</v>
      </c>
      <c r="D13" s="21" t="s">
        <v>24</v>
      </c>
      <c r="E13" s="1" t="s">
        <v>78</v>
      </c>
    </row>
    <row r="14" spans="1:5" ht="15.75">
      <c r="A14" s="19" t="s">
        <v>25</v>
      </c>
      <c r="B14" s="23">
        <f>[1]Munka1!$C$19/1000</f>
        <v>12821.3</v>
      </c>
      <c r="C14" s="23">
        <v>18181</v>
      </c>
      <c r="D14" s="21" t="s">
        <v>26</v>
      </c>
      <c r="E14" s="1" t="s">
        <v>78</v>
      </c>
    </row>
    <row r="15" spans="1:5" ht="15.75">
      <c r="A15" s="19" t="s">
        <v>27</v>
      </c>
      <c r="B15" s="23">
        <f>[1]Munka1!$C$24/1000</f>
        <v>6127</v>
      </c>
      <c r="C15" s="23">
        <v>8247</v>
      </c>
      <c r="D15" s="21" t="s">
        <v>132</v>
      </c>
    </row>
    <row r="16" spans="1:5" ht="15.75">
      <c r="A16" s="19" t="s">
        <v>79</v>
      </c>
      <c r="B16" s="23">
        <f>[1]Munka1!$C$33/1000</f>
        <v>459599.36599999998</v>
      </c>
      <c r="C16" s="23">
        <v>479354</v>
      </c>
      <c r="D16" s="22" t="s">
        <v>80</v>
      </c>
    </row>
    <row r="17" spans="1:4" ht="30">
      <c r="A17" s="19" t="s">
        <v>29</v>
      </c>
      <c r="B17" s="23">
        <v>0</v>
      </c>
      <c r="C17" s="23">
        <v>0</v>
      </c>
      <c r="D17" s="22" t="s">
        <v>30</v>
      </c>
    </row>
    <row r="18" spans="1:4" ht="15.75">
      <c r="A18" s="19" t="s">
        <v>31</v>
      </c>
      <c r="B18" s="23">
        <v>0</v>
      </c>
      <c r="C18" s="23">
        <v>0</v>
      </c>
      <c r="D18" s="21" t="s">
        <v>32</v>
      </c>
    </row>
    <row r="19" spans="1:4" ht="15.75">
      <c r="A19" s="24" t="s">
        <v>33</v>
      </c>
      <c r="B19" s="25">
        <f>SUM(B12:B18)</f>
        <v>480059.36599999998</v>
      </c>
      <c r="C19" s="25">
        <f>SUM(C12:C18)</f>
        <v>507293.7</v>
      </c>
    </row>
    <row r="20" spans="1:4" ht="15.75">
      <c r="A20" s="19" t="s">
        <v>34</v>
      </c>
      <c r="B20" s="23">
        <f>[1]Munka1!$C$25/1000</f>
        <v>18060</v>
      </c>
      <c r="C20" s="23">
        <v>23631</v>
      </c>
      <c r="D20" s="21" t="s">
        <v>133</v>
      </c>
    </row>
    <row r="21" spans="1:4" ht="15.75">
      <c r="A21" s="31" t="s">
        <v>38</v>
      </c>
      <c r="B21" s="29">
        <f>SUM(B19+B20)</f>
        <v>498119.36599999998</v>
      </c>
      <c r="C21" s="29">
        <f>SUM(C19+C20)</f>
        <v>530924.69999999995</v>
      </c>
    </row>
    <row r="22" spans="1:4" ht="15.75">
      <c r="A22" s="32"/>
      <c r="B22" s="30"/>
      <c r="C22" s="30"/>
      <c r="D22" s="47"/>
    </row>
    <row r="23" spans="1:4" ht="15.75">
      <c r="A23" s="19" t="s">
        <v>39</v>
      </c>
      <c r="B23" s="23">
        <v>0</v>
      </c>
      <c r="C23" s="23">
        <v>10580</v>
      </c>
      <c r="D23" s="21" t="s">
        <v>40</v>
      </c>
    </row>
    <row r="24" spans="1:4" ht="15.75">
      <c r="A24" s="19" t="s">
        <v>41</v>
      </c>
      <c r="B24" s="23">
        <v>0</v>
      </c>
      <c r="C24" s="23">
        <v>0</v>
      </c>
      <c r="D24" s="21"/>
    </row>
    <row r="25" spans="1:4" ht="45">
      <c r="A25" s="19" t="s">
        <v>42</v>
      </c>
      <c r="B25" s="23">
        <v>0</v>
      </c>
      <c r="C25" s="23">
        <v>0</v>
      </c>
      <c r="D25" s="22" t="s">
        <v>43</v>
      </c>
    </row>
    <row r="26" spans="1:4" ht="15.75">
      <c r="A26" s="19" t="s">
        <v>44</v>
      </c>
      <c r="B26" s="23">
        <v>0</v>
      </c>
      <c r="C26" s="23">
        <v>0</v>
      </c>
      <c r="D26" s="21"/>
    </row>
    <row r="27" spans="1:4" ht="15.75">
      <c r="A27" s="19" t="s">
        <v>45</v>
      </c>
      <c r="B27" s="23">
        <f>[1]Munka1!$C$65/1000+[1]Munka1!$C$46/1000+[1]Munka1!$C$45/1000+[1]Munka1!$C$44/1000</f>
        <v>498119.36599999998</v>
      </c>
      <c r="C27" s="23">
        <v>517087</v>
      </c>
      <c r="D27" s="21" t="s">
        <v>134</v>
      </c>
    </row>
    <row r="28" spans="1:4" ht="15.75">
      <c r="A28" s="19" t="s">
        <v>47</v>
      </c>
      <c r="B28" s="23">
        <f>[1]Munka1!$C$47/1000</f>
        <v>321246.49599999998</v>
      </c>
      <c r="C28" s="23">
        <v>340582</v>
      </c>
      <c r="D28" s="21"/>
    </row>
    <row r="29" spans="1:4" ht="15.75">
      <c r="A29" s="19" t="s">
        <v>73</v>
      </c>
      <c r="B29" s="23">
        <v>0</v>
      </c>
      <c r="C29" s="23">
        <v>0</v>
      </c>
      <c r="D29" s="21"/>
    </row>
    <row r="30" spans="1:4" ht="15.75">
      <c r="A30" s="19" t="s">
        <v>48</v>
      </c>
      <c r="B30" s="23">
        <v>0</v>
      </c>
      <c r="C30" s="23">
        <v>0</v>
      </c>
      <c r="D30" s="21" t="s">
        <v>49</v>
      </c>
    </row>
    <row r="31" spans="1:4" ht="15.75">
      <c r="A31" s="24" t="s">
        <v>50</v>
      </c>
      <c r="B31" s="25">
        <f>SUM(B23+B24+B25+B27+B29+B30)</f>
        <v>498119.36599999998</v>
      </c>
      <c r="C31" s="25">
        <f>SUM(C23+C24+C25+C27+C29+C30)</f>
        <v>527667</v>
      </c>
    </row>
    <row r="32" spans="1:4" ht="15.75">
      <c r="A32" s="19" t="s">
        <v>179</v>
      </c>
      <c r="B32" s="20">
        <v>0</v>
      </c>
      <c r="C32" s="20">
        <v>3258</v>
      </c>
    </row>
    <row r="33" spans="1:3" ht="15.75">
      <c r="A33" s="34" t="s">
        <v>53</v>
      </c>
      <c r="B33" s="28">
        <f>B31+B32</f>
        <v>498119.36599999998</v>
      </c>
      <c r="C33" s="28">
        <f>C31+C32</f>
        <v>530925</v>
      </c>
    </row>
    <row r="35" spans="1:3">
      <c r="A35"/>
    </row>
    <row r="36" spans="1:3">
      <c r="A36"/>
    </row>
    <row r="37" spans="1:3">
      <c r="A37"/>
    </row>
    <row r="39" spans="1:3">
      <c r="A39" t="s">
        <v>181</v>
      </c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V34"/>
  <sheetViews>
    <sheetView workbookViewId="0">
      <selection activeCell="A4" sqref="A4"/>
    </sheetView>
  </sheetViews>
  <sheetFormatPr defaultColWidth="9.375" defaultRowHeight="1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6384" width="9.375" style="1"/>
  </cols>
  <sheetData>
    <row r="1" spans="1:8">
      <c r="B1" s="130"/>
      <c r="C1" s="130"/>
      <c r="F1" s="2"/>
      <c r="G1" s="2" t="s">
        <v>81</v>
      </c>
    </row>
    <row r="2" spans="1:8">
      <c r="A2" s="128" t="s">
        <v>1</v>
      </c>
      <c r="B2" s="128"/>
      <c r="C2" s="128"/>
      <c r="D2" s="128"/>
      <c r="E2" s="128"/>
      <c r="F2" s="128"/>
      <c r="G2" s="128"/>
      <c r="H2" s="128"/>
    </row>
    <row r="3" spans="1:8">
      <c r="A3" s="128" t="s">
        <v>206</v>
      </c>
      <c r="B3" s="128"/>
      <c r="C3" s="128"/>
      <c r="D3" s="128"/>
      <c r="E3" s="128"/>
      <c r="F3" s="128"/>
      <c r="G3" s="128"/>
      <c r="H3" s="128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128" t="s">
        <v>197</v>
      </c>
      <c r="B5" s="128"/>
      <c r="C5" s="128"/>
      <c r="D5" s="128"/>
      <c r="E5" s="128"/>
      <c r="F5" s="128"/>
      <c r="G5" s="128"/>
      <c r="H5" s="128"/>
    </row>
    <row r="6" spans="1:8">
      <c r="A6" s="128" t="s">
        <v>135</v>
      </c>
      <c r="B6" s="128"/>
      <c r="C6" s="128"/>
      <c r="D6" s="128"/>
      <c r="E6" s="128"/>
      <c r="F6" s="128"/>
      <c r="G6" s="128"/>
      <c r="H6" s="128"/>
    </row>
    <row r="7" spans="1:8">
      <c r="A7" s="128" t="s">
        <v>14</v>
      </c>
      <c r="B7" s="128"/>
      <c r="C7" s="128"/>
      <c r="D7" s="128"/>
      <c r="E7" s="128"/>
      <c r="F7" s="128"/>
      <c r="G7" s="128"/>
      <c r="H7" s="128"/>
    </row>
    <row r="8" spans="1:8">
      <c r="A8" s="2" t="s">
        <v>94</v>
      </c>
    </row>
    <row r="9" spans="1:8">
      <c r="A9" s="2"/>
    </row>
    <row r="10" spans="1:8" ht="30">
      <c r="A10" s="2" t="s">
        <v>82</v>
      </c>
      <c r="B10" s="48" t="s">
        <v>21</v>
      </c>
      <c r="C10" s="2" t="s">
        <v>83</v>
      </c>
      <c r="D10" s="2" t="s">
        <v>84</v>
      </c>
      <c r="E10" s="48" t="s">
        <v>85</v>
      </c>
      <c r="F10" s="2" t="s">
        <v>86</v>
      </c>
      <c r="G10" s="48" t="s">
        <v>87</v>
      </c>
      <c r="H10" s="2" t="s">
        <v>75</v>
      </c>
    </row>
    <row r="11" spans="1:8" ht="30">
      <c r="A11" s="22" t="s">
        <v>10</v>
      </c>
      <c r="B11" s="49">
        <f ca="1">'2B'!D12</f>
        <v>293850</v>
      </c>
      <c r="C11" s="49">
        <f ca="1">'2B'!D13</f>
        <v>79250</v>
      </c>
      <c r="D11" s="49">
        <f ca="1">'2B'!D14</f>
        <v>187866</v>
      </c>
      <c r="E11" s="49">
        <f ca="1">'2B'!D15</f>
        <v>700</v>
      </c>
      <c r="F11" s="49">
        <v>0</v>
      </c>
      <c r="G11" s="49">
        <f ca="1">'2B'!D16</f>
        <v>344</v>
      </c>
      <c r="H11" s="49">
        <f>SUM(B11:G11)</f>
        <v>562010</v>
      </c>
    </row>
    <row r="12" spans="1:8" ht="30">
      <c r="A12" s="22" t="s">
        <v>72</v>
      </c>
      <c r="B12" s="49">
        <f ca="1">'2C'!C12</f>
        <v>101752</v>
      </c>
      <c r="C12" s="49">
        <f ca="1">'2C'!C13</f>
        <v>25324</v>
      </c>
      <c r="D12" s="49">
        <f ca="1">'2C'!C14</f>
        <v>20701</v>
      </c>
      <c r="E12" s="49">
        <f ca="1">'2C'!C15</f>
        <v>420</v>
      </c>
      <c r="F12" s="49">
        <v>0</v>
      </c>
      <c r="G12" s="49">
        <f ca="1">'2C'!C16</f>
        <v>168</v>
      </c>
      <c r="H12" s="49">
        <f>SUM(B12:G12)</f>
        <v>148365</v>
      </c>
    </row>
    <row r="13" spans="1:8" ht="15.75">
      <c r="A13" s="22" t="s">
        <v>8</v>
      </c>
      <c r="B13" s="49">
        <f ca="1">'2D'!C12</f>
        <v>1000</v>
      </c>
      <c r="C13" s="49">
        <f ca="1">'2D'!C13</f>
        <v>511.7</v>
      </c>
      <c r="D13" s="49">
        <f ca="1">'2D'!C14</f>
        <v>18181</v>
      </c>
      <c r="E13" s="49">
        <v>0</v>
      </c>
      <c r="F13" s="49">
        <f ca="1">'2D'!C20</f>
        <v>23631</v>
      </c>
      <c r="G13" s="49">
        <f ca="1">'2D'!C15</f>
        <v>8247</v>
      </c>
      <c r="H13" s="49">
        <f>SUM(B13:G13)</f>
        <v>51570.7</v>
      </c>
    </row>
    <row r="14" spans="1:8">
      <c r="A14" s="50" t="s">
        <v>88</v>
      </c>
      <c r="B14" s="51">
        <f t="shared" ref="B14:H14" si="0">SUM(B11:B13)</f>
        <v>396602</v>
      </c>
      <c r="C14" s="51">
        <f t="shared" si="0"/>
        <v>105085.7</v>
      </c>
      <c r="D14" s="51">
        <f t="shared" si="0"/>
        <v>226748</v>
      </c>
      <c r="E14" s="51">
        <f t="shared" si="0"/>
        <v>1120</v>
      </c>
      <c r="F14" s="51">
        <f t="shared" si="0"/>
        <v>23631</v>
      </c>
      <c r="G14" s="51">
        <f t="shared" si="0"/>
        <v>8759</v>
      </c>
      <c r="H14" s="51">
        <f t="shared" si="0"/>
        <v>761945.7</v>
      </c>
    </row>
    <row r="15" spans="1:8" ht="15.75">
      <c r="A15" s="48"/>
      <c r="B15" s="56"/>
      <c r="C15" s="56"/>
      <c r="D15" s="56"/>
      <c r="E15" s="56"/>
      <c r="F15" s="56"/>
      <c r="G15" s="56"/>
      <c r="H15" s="57"/>
    </row>
    <row r="16" spans="1:8">
      <c r="A16" s="2" t="s">
        <v>95</v>
      </c>
    </row>
    <row r="18" spans="1:256" ht="30">
      <c r="A18" s="2" t="s">
        <v>82</v>
      </c>
      <c r="B18" s="48" t="s">
        <v>89</v>
      </c>
      <c r="C18" s="48" t="s">
        <v>63</v>
      </c>
      <c r="D18" s="2" t="s">
        <v>90</v>
      </c>
      <c r="E18" s="48" t="s">
        <v>91</v>
      </c>
      <c r="F18" s="48" t="s">
        <v>92</v>
      </c>
      <c r="G18" s="48" t="s">
        <v>93</v>
      </c>
      <c r="H18" s="48" t="s">
        <v>179</v>
      </c>
      <c r="I18" s="48" t="s">
        <v>75</v>
      </c>
    </row>
    <row r="19" spans="1:256" ht="30">
      <c r="A19" s="52" t="s">
        <v>10</v>
      </c>
      <c r="B19" s="49">
        <f ca="1">'2B'!D23</f>
        <v>197930</v>
      </c>
      <c r="C19" s="53">
        <f ca="1">250134-12615</f>
        <v>237519</v>
      </c>
      <c r="D19" s="53">
        <f ca="1">72513-760</f>
        <v>71753</v>
      </c>
      <c r="E19" s="49">
        <f ca="1">'2B'!D26</f>
        <v>35243</v>
      </c>
      <c r="F19" s="53">
        <v>12615</v>
      </c>
      <c r="G19" s="53">
        <f ca="1">'2B'!D28-'3'!C19-'3'!D19-'3'!F19-1512-428-760</f>
        <v>6950</v>
      </c>
      <c r="H19" s="53">
        <v>0</v>
      </c>
      <c r="I19" s="49">
        <f>SUM(B19:G19)</f>
        <v>562010</v>
      </c>
    </row>
    <row r="20" spans="1:256" ht="30">
      <c r="A20" s="52" t="s">
        <v>72</v>
      </c>
      <c r="B20" s="49">
        <f ca="1">'2C'!C21</f>
        <v>1825</v>
      </c>
      <c r="C20" s="53">
        <v>92387</v>
      </c>
      <c r="D20" s="53">
        <v>42261</v>
      </c>
      <c r="E20" s="53">
        <v>2664</v>
      </c>
      <c r="F20" s="53">
        <v>0</v>
      </c>
      <c r="G20" s="49">
        <f ca="1">'2C'!C26-'3'!C20-'3'!D20-'3'!F20-4086</f>
        <v>9083</v>
      </c>
      <c r="H20" s="49">
        <v>145</v>
      </c>
      <c r="I20" s="49">
        <f>SUM(B20:H20)</f>
        <v>148365</v>
      </c>
    </row>
    <row r="21" spans="1:256" ht="15.75">
      <c r="A21" s="22" t="s">
        <v>8</v>
      </c>
      <c r="B21" s="49">
        <f ca="1">'2D'!C23</f>
        <v>10580</v>
      </c>
      <c r="C21" s="49">
        <v>0</v>
      </c>
      <c r="D21" s="49">
        <v>0</v>
      </c>
      <c r="E21" s="49">
        <v>37733</v>
      </c>
      <c r="F21" s="49">
        <v>0</v>
      </c>
      <c r="G21" s="49">
        <v>0</v>
      </c>
      <c r="H21" s="49">
        <f ca="1">'2D'!C32</f>
        <v>3258</v>
      </c>
      <c r="I21" s="49">
        <f>SUM(B21:H21)</f>
        <v>51571</v>
      </c>
    </row>
    <row r="22" spans="1:256" ht="15.75">
      <c r="A22" s="54" t="s">
        <v>88</v>
      </c>
      <c r="B22" s="55">
        <f t="shared" ref="B22:I22" si="1">SUM(B19:B21)</f>
        <v>210335</v>
      </c>
      <c r="C22" s="55">
        <f t="shared" si="1"/>
        <v>329906</v>
      </c>
      <c r="D22" s="55">
        <f t="shared" si="1"/>
        <v>114014</v>
      </c>
      <c r="E22" s="55">
        <f t="shared" si="1"/>
        <v>75640</v>
      </c>
      <c r="F22" s="55">
        <f t="shared" si="1"/>
        <v>12615</v>
      </c>
      <c r="G22" s="55">
        <f t="shared" si="1"/>
        <v>16033</v>
      </c>
      <c r="H22" s="55"/>
      <c r="I22" s="55">
        <f t="shared" si="1"/>
        <v>761946</v>
      </c>
    </row>
    <row r="23" spans="1:256" s="91" customFormat="1" ht="15.75">
      <c r="A23" s="48"/>
      <c r="B23" s="90"/>
      <c r="C23" s="90"/>
      <c r="D23" s="90"/>
      <c r="E23" s="90"/>
      <c r="F23" s="90"/>
      <c r="G23" s="90"/>
      <c r="H23" s="90"/>
      <c r="I23" s="9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91" customFormat="1" ht="15.75">
      <c r="A24" s="48" t="s">
        <v>136</v>
      </c>
      <c r="B24" s="90"/>
      <c r="C24" s="90"/>
      <c r="D24" s="90"/>
      <c r="E24" s="90" t="s">
        <v>137</v>
      </c>
      <c r="F24" s="90"/>
      <c r="G24" s="90"/>
      <c r="H24" s="90"/>
      <c r="I24" s="9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91" customFormat="1" ht="30">
      <c r="A25" s="2" t="s">
        <v>82</v>
      </c>
      <c r="B25" s="48" t="s">
        <v>29</v>
      </c>
      <c r="C25" s="2" t="s">
        <v>75</v>
      </c>
      <c r="D25" s="90"/>
      <c r="E25" s="2" t="s">
        <v>82</v>
      </c>
      <c r="F25" s="48" t="s">
        <v>51</v>
      </c>
      <c r="G25" s="48" t="s">
        <v>93</v>
      </c>
      <c r="H25" s="48" t="s">
        <v>90</v>
      </c>
      <c r="I25" s="48" t="s">
        <v>75</v>
      </c>
      <c r="J25" s="90"/>
      <c r="K25" s="9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91" customFormat="1" ht="30">
      <c r="A26" s="22" t="s">
        <v>10</v>
      </c>
      <c r="B26" s="49">
        <f ca="1">'2B'!D17</f>
        <v>3537</v>
      </c>
      <c r="C26" s="49">
        <f>B26</f>
        <v>3537</v>
      </c>
      <c r="D26" s="90"/>
      <c r="E26" s="52" t="s">
        <v>10</v>
      </c>
      <c r="F26" s="49">
        <v>837</v>
      </c>
      <c r="G26" s="49">
        <f>1512+428</f>
        <v>1940</v>
      </c>
      <c r="H26" s="49">
        <v>760</v>
      </c>
      <c r="I26" s="49">
        <f>SUM(F26:H26)</f>
        <v>3537</v>
      </c>
      <c r="J26" s="90"/>
      <c r="K26" s="9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91" customFormat="1" ht="60">
      <c r="A27" s="22" t="s">
        <v>72</v>
      </c>
      <c r="B27" s="49">
        <f ca="1">'2C'!C17</f>
        <v>4356</v>
      </c>
      <c r="C27" s="49">
        <f>B27</f>
        <v>4356</v>
      </c>
      <c r="D27" s="90"/>
      <c r="E27" s="52" t="s">
        <v>72</v>
      </c>
      <c r="F27" s="49">
        <v>270</v>
      </c>
      <c r="G27" s="49">
        <v>4086</v>
      </c>
      <c r="H27" s="49">
        <v>0</v>
      </c>
      <c r="I27" s="49">
        <f>SUM(F27:H27)</f>
        <v>4356</v>
      </c>
      <c r="J27" s="90"/>
      <c r="K27" s="9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91" customFormat="1" ht="30">
      <c r="A28" s="22" t="s">
        <v>8</v>
      </c>
      <c r="B28" s="49">
        <f ca="1">'2D'!C24</f>
        <v>0</v>
      </c>
      <c r="C28" s="49">
        <v>0</v>
      </c>
      <c r="D28" s="90"/>
      <c r="E28" s="22" t="s">
        <v>8</v>
      </c>
      <c r="F28" s="49">
        <v>0</v>
      </c>
      <c r="G28" s="49">
        <v>0</v>
      </c>
      <c r="H28" s="49">
        <v>0</v>
      </c>
      <c r="I28" s="49">
        <v>0</v>
      </c>
      <c r="J28" s="90"/>
      <c r="K28" s="9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91" customFormat="1" ht="15.75">
      <c r="A29" s="50" t="s">
        <v>88</v>
      </c>
      <c r="B29" s="51">
        <f>SUM(B26:B28)</f>
        <v>7893</v>
      </c>
      <c r="C29" s="51">
        <f>SUM(C26:C28)</f>
        <v>7893</v>
      </c>
      <c r="D29" s="90"/>
      <c r="E29" s="54" t="s">
        <v>88</v>
      </c>
      <c r="F29" s="55">
        <f>SUM(F26:F28)</f>
        <v>1107</v>
      </c>
      <c r="G29" s="55">
        <f>SUM(G26:G28)</f>
        <v>6026</v>
      </c>
      <c r="H29" s="55">
        <f>SUM(H26:H28)</f>
        <v>760</v>
      </c>
      <c r="I29" s="55">
        <f>SUM(I26:I28)</f>
        <v>7893</v>
      </c>
      <c r="J29" s="90"/>
      <c r="K29" s="9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91" customFormat="1" ht="15.75">
      <c r="A30" s="48"/>
      <c r="B30" s="90"/>
      <c r="C30" s="90"/>
      <c r="D30" s="90"/>
      <c r="E30" s="90"/>
      <c r="F30" s="90"/>
      <c r="G30" s="90"/>
      <c r="H30" s="90"/>
      <c r="I30" s="9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4" spans="1:1">
      <c r="A34" s="1" t="s">
        <v>198</v>
      </c>
    </row>
  </sheetData>
  <mergeCells count="6">
    <mergeCell ref="A7:H7"/>
    <mergeCell ref="B1:C1"/>
    <mergeCell ref="A2:H2"/>
    <mergeCell ref="A3:H3"/>
    <mergeCell ref="A5:H5"/>
    <mergeCell ref="A6:H6"/>
  </mergeCells>
  <phoneticPr fontId="20" type="noConversion"/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B17" sqref="B17"/>
    </sheetView>
  </sheetViews>
  <sheetFormatPr defaultColWidth="8.75" defaultRowHeight="15"/>
  <cols>
    <col min="1" max="1" width="33.5" style="1" customWidth="1"/>
    <col min="2" max="3" width="13" style="1" customWidth="1"/>
    <col min="4" max="4" width="17" style="1" customWidth="1"/>
    <col min="5" max="16384" width="8.75" style="1"/>
  </cols>
  <sheetData>
    <row r="1" spans="1:7" ht="15.75">
      <c r="A1" s="58"/>
    </row>
    <row r="2" spans="1:7" ht="15.75">
      <c r="A2" s="59"/>
    </row>
    <row r="3" spans="1:7" ht="15.75">
      <c r="A3" s="127" t="s">
        <v>8</v>
      </c>
      <c r="B3" s="127"/>
      <c r="C3" s="127"/>
      <c r="D3" s="127"/>
    </row>
    <row r="4" spans="1:7" ht="15.75">
      <c r="A4" s="127" t="s">
        <v>100</v>
      </c>
      <c r="B4" s="127"/>
      <c r="C4" s="127"/>
      <c r="D4" s="127"/>
    </row>
    <row r="5" spans="1:7" ht="15.75">
      <c r="A5" s="127" t="s">
        <v>173</v>
      </c>
      <c r="B5" s="127"/>
      <c r="C5" s="127"/>
      <c r="D5" s="127"/>
      <c r="G5"/>
    </row>
    <row r="6" spans="1:7" ht="15.75">
      <c r="A6" s="60"/>
      <c r="G6"/>
    </row>
    <row r="7" spans="1:7" ht="15.75" customHeight="1">
      <c r="A7" s="133" t="s">
        <v>101</v>
      </c>
      <c r="B7" s="133"/>
      <c r="C7" s="133"/>
      <c r="D7" s="133"/>
    </row>
    <row r="8" spans="1:7">
      <c r="A8" s="61"/>
      <c r="G8"/>
    </row>
    <row r="9" spans="1:7" ht="16.5" thickBot="1">
      <c r="B9" s="62" t="s">
        <v>102</v>
      </c>
      <c r="C9" s="111"/>
      <c r="D9" s="4"/>
    </row>
    <row r="10" spans="1:7" ht="33" customHeight="1" thickTop="1">
      <c r="A10" s="63" t="s">
        <v>6</v>
      </c>
      <c r="B10" s="64" t="s">
        <v>174</v>
      </c>
      <c r="C10" s="64" t="s">
        <v>174</v>
      </c>
      <c r="D10" s="63" t="s">
        <v>103</v>
      </c>
    </row>
    <row r="11" spans="1:7" ht="15.75">
      <c r="A11" s="65" t="s">
        <v>104</v>
      </c>
      <c r="B11" s="66" t="s">
        <v>105</v>
      </c>
      <c r="C11" s="66" t="s">
        <v>105</v>
      </c>
      <c r="D11" s="67"/>
    </row>
    <row r="12" spans="1:7" ht="16.5" customHeight="1" thickBot="1">
      <c r="A12" s="68"/>
      <c r="B12" s="69" t="s">
        <v>106</v>
      </c>
      <c r="C12" s="69" t="s">
        <v>106</v>
      </c>
      <c r="D12" s="67"/>
    </row>
    <row r="13" spans="1:7" ht="47.25" customHeight="1" thickTop="1">
      <c r="A13" s="70" t="s">
        <v>72</v>
      </c>
      <c r="B13" s="71">
        <f>SUM(B14:B16)</f>
        <v>43</v>
      </c>
      <c r="C13" s="71">
        <f>SUM(C14:C16)</f>
        <v>43</v>
      </c>
      <c r="D13" s="72">
        <v>0</v>
      </c>
    </row>
    <row r="14" spans="1:7" ht="19.5" customHeight="1">
      <c r="A14" s="73" t="s">
        <v>107</v>
      </c>
      <c r="B14" s="74">
        <v>8</v>
      </c>
      <c r="C14" s="74">
        <v>8</v>
      </c>
      <c r="D14" s="75">
        <v>0</v>
      </c>
    </row>
    <row r="15" spans="1:7" ht="21.75" customHeight="1">
      <c r="A15" s="73" t="s">
        <v>108</v>
      </c>
      <c r="B15" s="74">
        <v>16</v>
      </c>
      <c r="C15" s="74">
        <v>16</v>
      </c>
      <c r="D15" s="75">
        <v>0</v>
      </c>
    </row>
    <row r="16" spans="1:7" ht="19.5" customHeight="1">
      <c r="A16" s="73" t="s">
        <v>109</v>
      </c>
      <c r="B16" s="74">
        <v>19</v>
      </c>
      <c r="C16" s="74">
        <v>19</v>
      </c>
      <c r="D16" s="75">
        <v>0</v>
      </c>
    </row>
    <row r="17" spans="1:4" ht="37.5" customHeight="1">
      <c r="A17" s="70" t="s">
        <v>99</v>
      </c>
      <c r="B17" s="71">
        <f>SUM(B18:B28)</f>
        <v>134</v>
      </c>
      <c r="C17" s="71">
        <f>SUM(C18:C28)</f>
        <v>135</v>
      </c>
      <c r="D17" s="72">
        <f>SUM(D18:D28)</f>
        <v>0</v>
      </c>
    </row>
    <row r="18" spans="1:4" ht="33.75" customHeight="1">
      <c r="A18" s="73" t="s">
        <v>110</v>
      </c>
      <c r="B18" s="74">
        <v>42</v>
      </c>
      <c r="C18" s="74">
        <f>42+1</f>
        <v>43</v>
      </c>
      <c r="D18" s="75">
        <v>0</v>
      </c>
    </row>
    <row r="19" spans="1:4" ht="21" customHeight="1">
      <c r="A19" s="73" t="s">
        <v>111</v>
      </c>
      <c r="B19" s="74">
        <v>28</v>
      </c>
      <c r="C19" s="74">
        <v>28</v>
      </c>
      <c r="D19" s="75">
        <v>0</v>
      </c>
    </row>
    <row r="20" spans="1:4" ht="19.5" customHeight="1">
      <c r="A20" s="73" t="s">
        <v>112</v>
      </c>
      <c r="B20" s="74"/>
      <c r="C20" s="74"/>
      <c r="D20" s="75">
        <v>0</v>
      </c>
    </row>
    <row r="21" spans="1:4" ht="18" customHeight="1">
      <c r="A21" s="73" t="s">
        <v>113</v>
      </c>
      <c r="B21" s="74">
        <v>6</v>
      </c>
      <c r="C21" s="74">
        <v>6</v>
      </c>
      <c r="D21" s="75">
        <v>0</v>
      </c>
    </row>
    <row r="22" spans="1:4" ht="18" customHeight="1">
      <c r="A22" s="73" t="s">
        <v>114</v>
      </c>
      <c r="B22" s="74">
        <v>16</v>
      </c>
      <c r="C22" s="74">
        <v>16</v>
      </c>
      <c r="D22" s="75">
        <v>0</v>
      </c>
    </row>
    <row r="23" spans="1:4" ht="16.5" customHeight="1">
      <c r="A23" s="73" t="s">
        <v>115</v>
      </c>
      <c r="B23" s="74">
        <v>7</v>
      </c>
      <c r="C23" s="74">
        <v>7</v>
      </c>
      <c r="D23" s="75">
        <v>0</v>
      </c>
    </row>
    <row r="24" spans="1:4" ht="18.75" customHeight="1">
      <c r="A24" s="73" t="s">
        <v>116</v>
      </c>
      <c r="B24" s="74">
        <v>2</v>
      </c>
      <c r="C24" s="74">
        <v>2</v>
      </c>
      <c r="D24" s="75">
        <v>0</v>
      </c>
    </row>
    <row r="25" spans="1:4" ht="18" customHeight="1">
      <c r="A25" s="73" t="s">
        <v>117</v>
      </c>
      <c r="B25" s="74">
        <v>4</v>
      </c>
      <c r="C25" s="74">
        <v>4</v>
      </c>
      <c r="D25" s="75">
        <v>0</v>
      </c>
    </row>
    <row r="26" spans="1:4" ht="18.75" customHeight="1">
      <c r="A26" s="73" t="s">
        <v>118</v>
      </c>
      <c r="B26" s="74">
        <v>24</v>
      </c>
      <c r="C26" s="74">
        <v>24</v>
      </c>
      <c r="D26" s="75">
        <v>0</v>
      </c>
    </row>
    <row r="27" spans="1:4" ht="18" customHeight="1">
      <c r="A27" s="73" t="s">
        <v>119</v>
      </c>
      <c r="B27" s="74">
        <v>1</v>
      </c>
      <c r="C27" s="74">
        <v>1</v>
      </c>
      <c r="D27" s="75">
        <v>0</v>
      </c>
    </row>
    <row r="28" spans="1:4" ht="17.25" customHeight="1">
      <c r="A28" s="73" t="s">
        <v>120</v>
      </c>
      <c r="B28" s="112">
        <v>4</v>
      </c>
      <c r="C28" s="112">
        <v>4</v>
      </c>
      <c r="D28" s="76">
        <v>0</v>
      </c>
    </row>
    <row r="29" spans="1:4" ht="17.25" customHeight="1">
      <c r="A29" s="70" t="s">
        <v>8</v>
      </c>
      <c r="B29" s="113">
        <v>0</v>
      </c>
      <c r="C29" s="113">
        <v>0</v>
      </c>
      <c r="D29" s="77">
        <v>0</v>
      </c>
    </row>
    <row r="30" spans="1:4" ht="17.25" customHeight="1">
      <c r="A30" s="22" t="s">
        <v>97</v>
      </c>
      <c r="B30" s="112">
        <v>0</v>
      </c>
      <c r="C30" s="112">
        <v>0</v>
      </c>
      <c r="D30" s="76">
        <v>0</v>
      </c>
    </row>
    <row r="31" spans="1:4" ht="21.75" customHeight="1">
      <c r="A31" s="70" t="s">
        <v>98</v>
      </c>
      <c r="B31" s="71">
        <f>SUM(B13+B17+B29)</f>
        <v>177</v>
      </c>
      <c r="C31" s="71">
        <f>SUM(C13+C17+C29)</f>
        <v>178</v>
      </c>
      <c r="D31" s="72">
        <f>SUM(D13+D17+D29)</f>
        <v>0</v>
      </c>
    </row>
    <row r="33" spans="1:1" ht="15.75">
      <c r="A33" s="78" t="s">
        <v>181</v>
      </c>
    </row>
  </sheetData>
  <mergeCells count="4">
    <mergeCell ref="A3:D3"/>
    <mergeCell ref="A4:D4"/>
    <mergeCell ref="A5:D5"/>
    <mergeCell ref="A7:D7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V40"/>
  <sheetViews>
    <sheetView tabSelected="1" topLeftCell="A4" workbookViewId="0">
      <selection activeCell="A46" sqref="A46"/>
    </sheetView>
  </sheetViews>
  <sheetFormatPr defaultColWidth="8.75" defaultRowHeight="1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6" width="17.625" style="1" customWidth="1"/>
    <col min="7" max="16384" width="8.75" style="1"/>
  </cols>
  <sheetData>
    <row r="1" spans="1:256" ht="15.75">
      <c r="A1" s="93"/>
      <c r="B1" s="134" t="s">
        <v>196</v>
      </c>
      <c r="C1" s="134"/>
      <c r="D1" s="134"/>
      <c r="E1" s="134"/>
      <c r="F1" s="118"/>
    </row>
    <row r="2" spans="1:256" ht="15.75">
      <c r="A2" s="137" t="s">
        <v>8</v>
      </c>
      <c r="B2" s="137"/>
      <c r="C2" s="137"/>
      <c r="D2" s="137"/>
      <c r="E2" s="137"/>
      <c r="F2" s="94"/>
    </row>
    <row r="3" spans="1:256" ht="15.75">
      <c r="A3" s="94"/>
      <c r="B3" s="94"/>
      <c r="C3" s="94"/>
      <c r="D3" s="93"/>
      <c r="E3" s="93"/>
      <c r="F3" s="93"/>
    </row>
    <row r="4" spans="1:256" ht="15.75">
      <c r="A4" s="137" t="s">
        <v>121</v>
      </c>
      <c r="B4" s="137"/>
      <c r="C4" s="137"/>
      <c r="D4" s="137"/>
      <c r="E4" s="137"/>
      <c r="F4" s="94"/>
    </row>
    <row r="5" spans="1:256" ht="15.75">
      <c r="A5" s="93"/>
      <c r="B5" s="93"/>
      <c r="C5" s="93"/>
      <c r="D5" s="93"/>
      <c r="E5" s="93"/>
      <c r="F5" s="93"/>
    </row>
    <row r="6" spans="1:256" ht="15.75">
      <c r="A6" s="135" t="s">
        <v>10</v>
      </c>
      <c r="B6" s="135"/>
      <c r="C6" s="135"/>
      <c r="D6" s="93"/>
      <c r="E6" s="93"/>
      <c r="F6" s="93"/>
    </row>
    <row r="7" spans="1:256" ht="15.75">
      <c r="A7" s="59" t="s">
        <v>200</v>
      </c>
      <c r="B7" s="93"/>
      <c r="C7" s="93"/>
      <c r="D7" s="93"/>
      <c r="E7" s="93"/>
      <c r="F7" s="93"/>
    </row>
    <row r="8" spans="1:256" s="41" customFormat="1" ht="47.25">
      <c r="A8" s="95" t="s">
        <v>96</v>
      </c>
      <c r="B8" s="96" t="s">
        <v>171</v>
      </c>
      <c r="C8" s="97" t="s">
        <v>157</v>
      </c>
      <c r="D8" s="59" t="s">
        <v>156</v>
      </c>
      <c r="E8" s="59" t="s">
        <v>155</v>
      </c>
      <c r="F8" s="126" t="s">
        <v>199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customFormat="1" ht="15.75">
      <c r="A9" s="98" t="s">
        <v>138</v>
      </c>
      <c r="B9" s="99" t="s">
        <v>60</v>
      </c>
      <c r="C9" s="100">
        <v>60896</v>
      </c>
      <c r="D9" s="99">
        <v>426</v>
      </c>
      <c r="E9" s="124">
        <f>SUM(D9*C9)</f>
        <v>25941696</v>
      </c>
      <c r="F9" s="101">
        <v>25941696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customFormat="1" ht="15.75">
      <c r="A10" s="98" t="s">
        <v>139</v>
      </c>
      <c r="B10" s="99" t="s">
        <v>61</v>
      </c>
      <c r="C10" s="100">
        <v>188500</v>
      </c>
      <c r="D10" s="101">
        <v>192</v>
      </c>
      <c r="E10" s="124">
        <f t="shared" ref="E10:E16" si="0">SUM(D10*C10)</f>
        <v>36192000</v>
      </c>
      <c r="F10" s="101">
        <v>36192000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customFormat="1" ht="15.75">
      <c r="A11" s="98" t="s">
        <v>140</v>
      </c>
      <c r="B11" s="99" t="s">
        <v>141</v>
      </c>
      <c r="C11" s="100">
        <v>163500</v>
      </c>
      <c r="D11" s="99">
        <v>38</v>
      </c>
      <c r="E11" s="124">
        <f t="shared" si="0"/>
        <v>6213000</v>
      </c>
      <c r="F11" s="101">
        <v>6213000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customFormat="1" ht="15.75">
      <c r="A12" s="98" t="s">
        <v>142</v>
      </c>
      <c r="B12" s="99" t="s">
        <v>143</v>
      </c>
      <c r="C12" s="100">
        <v>550000</v>
      </c>
      <c r="D12" s="101">
        <v>11</v>
      </c>
      <c r="E12" s="124">
        <f t="shared" si="0"/>
        <v>6050000</v>
      </c>
      <c r="F12" s="101">
        <v>6050000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customFormat="1" ht="15.75">
      <c r="A13" s="98" t="s">
        <v>142</v>
      </c>
      <c r="B13" s="99" t="s">
        <v>144</v>
      </c>
      <c r="C13" s="100">
        <v>220000</v>
      </c>
      <c r="D13" s="99">
        <v>16</v>
      </c>
      <c r="E13" s="124">
        <f t="shared" si="0"/>
        <v>3520000</v>
      </c>
      <c r="F13" s="101">
        <v>3520000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ht="15.75">
      <c r="A14" s="98" t="s">
        <v>145</v>
      </c>
      <c r="B14" s="99" t="s">
        <v>146</v>
      </c>
      <c r="C14" s="101">
        <v>550000</v>
      </c>
      <c r="D14" s="99">
        <v>28</v>
      </c>
      <c r="E14" s="124">
        <f t="shared" si="0"/>
        <v>15400000</v>
      </c>
      <c r="F14" s="101">
        <v>15400000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customFormat="1" ht="15.75">
      <c r="A15" s="102" t="s">
        <v>147</v>
      </c>
      <c r="B15" s="103" t="s">
        <v>148</v>
      </c>
      <c r="C15" s="104">
        <v>247320</v>
      </c>
      <c r="D15" s="103">
        <v>36</v>
      </c>
      <c r="E15" s="124">
        <f t="shared" si="0"/>
        <v>8903520</v>
      </c>
      <c r="F15" s="101">
        <v>8903520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customFormat="1" ht="15.75">
      <c r="A16" s="102" t="s">
        <v>149</v>
      </c>
      <c r="B16" s="103" t="s">
        <v>150</v>
      </c>
      <c r="C16" s="104">
        <v>515185</v>
      </c>
      <c r="D16" s="103">
        <v>40</v>
      </c>
      <c r="E16" s="124">
        <f t="shared" si="0"/>
        <v>20607400</v>
      </c>
      <c r="F16" s="101">
        <v>20607400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customFormat="1" ht="15.75">
      <c r="A17" s="102" t="s">
        <v>151</v>
      </c>
      <c r="B17" s="103" t="s">
        <v>152</v>
      </c>
      <c r="C17" s="104">
        <v>2606040</v>
      </c>
      <c r="D17" s="103">
        <v>32</v>
      </c>
      <c r="E17" s="125">
        <v>83393280</v>
      </c>
      <c r="F17" s="101">
        <v>83393280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customFormat="1" ht="15.75">
      <c r="A18" s="99" t="s">
        <v>153</v>
      </c>
      <c r="B18" s="99" t="s">
        <v>154</v>
      </c>
      <c r="C18" s="101"/>
      <c r="D18" s="99"/>
      <c r="E18" s="124">
        <v>25725104</v>
      </c>
      <c r="F18" s="101">
        <v>25725104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customFormat="1" ht="15.75">
      <c r="A19" s="99"/>
      <c r="B19" s="99" t="s">
        <v>185</v>
      </c>
      <c r="C19" s="101"/>
      <c r="D19" s="99"/>
      <c r="E19" s="101"/>
      <c r="F19" s="101">
        <v>5572953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customFormat="1" ht="15.75">
      <c r="A20" s="99"/>
      <c r="B20" s="99" t="s">
        <v>201</v>
      </c>
      <c r="C20" s="101"/>
      <c r="D20" s="99"/>
      <c r="E20" s="101"/>
      <c r="F20" s="101">
        <v>8130034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customFormat="1" ht="15.75">
      <c r="A21" s="95"/>
      <c r="B21" s="96" t="s">
        <v>75</v>
      </c>
      <c r="C21" s="97"/>
      <c r="D21" s="93"/>
      <c r="E21" s="108">
        <f>SUM(E9:E18)</f>
        <v>231946000</v>
      </c>
      <c r="F21" s="108">
        <f>SUM(F9:F20)</f>
        <v>245648987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>
      <c r="A22"/>
      <c r="B22" s="79"/>
      <c r="C22" s="80"/>
    </row>
    <row r="23" spans="1:256" ht="15.75">
      <c r="A23" s="136" t="s">
        <v>72</v>
      </c>
      <c r="B23" s="136"/>
      <c r="C23" s="136"/>
      <c r="D23" s="93"/>
      <c r="E23" s="93"/>
      <c r="F23" s="93"/>
    </row>
    <row r="24" spans="1:256" customFormat="1" ht="47.25">
      <c r="A24" s="95" t="s">
        <v>96</v>
      </c>
      <c r="B24" s="96" t="s">
        <v>171</v>
      </c>
      <c r="C24" s="97" t="s">
        <v>157</v>
      </c>
      <c r="D24" s="59" t="s">
        <v>156</v>
      </c>
      <c r="E24" s="59" t="s">
        <v>155</v>
      </c>
      <c r="F24" s="126" t="s">
        <v>199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customFormat="1" ht="15.75">
      <c r="A25" s="98" t="s">
        <v>158</v>
      </c>
      <c r="B25" s="99" t="s">
        <v>159</v>
      </c>
      <c r="C25" s="105" t="s">
        <v>160</v>
      </c>
      <c r="D25" s="99">
        <v>10.403600000000001</v>
      </c>
      <c r="E25" s="101">
        <v>20547110</v>
      </c>
      <c r="F25" s="101">
        <v>20547110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customFormat="1" ht="15.75">
      <c r="A26" s="98" t="s">
        <v>161</v>
      </c>
      <c r="B26" s="99" t="s">
        <v>162</v>
      </c>
      <c r="C26" s="105" t="s">
        <v>163</v>
      </c>
      <c r="D26" s="101">
        <v>72825</v>
      </c>
      <c r="E26" s="101">
        <v>21847500</v>
      </c>
      <c r="F26" s="101">
        <v>21847500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customFormat="1" ht="15.75">
      <c r="A27" s="98" t="s">
        <v>158</v>
      </c>
      <c r="B27" s="99" t="s">
        <v>164</v>
      </c>
      <c r="C27" s="105" t="s">
        <v>160</v>
      </c>
      <c r="D27" s="99">
        <v>10.403600000000001</v>
      </c>
      <c r="E27" s="101">
        <v>20547110</v>
      </c>
      <c r="F27" s="101">
        <v>20547110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customFormat="1" ht="15.75">
      <c r="A28" s="98" t="s">
        <v>161</v>
      </c>
      <c r="B28" s="99" t="s">
        <v>165</v>
      </c>
      <c r="C28" s="105" t="s">
        <v>166</v>
      </c>
      <c r="D28" s="101">
        <v>12664</v>
      </c>
      <c r="E28" s="101">
        <v>15196800</v>
      </c>
      <c r="F28" s="101">
        <v>15196800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customFormat="1" ht="15.75">
      <c r="A29" s="98" t="s">
        <v>167</v>
      </c>
      <c r="B29" s="99" t="s">
        <v>168</v>
      </c>
      <c r="C29" s="100">
        <v>2606040</v>
      </c>
      <c r="D29" s="99">
        <v>2</v>
      </c>
      <c r="E29" s="101">
        <v>5212080</v>
      </c>
      <c r="F29" s="101">
        <v>5212080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customFormat="1" ht="15.75">
      <c r="A30" s="102" t="s">
        <v>169</v>
      </c>
      <c r="B30" s="99" t="s">
        <v>170</v>
      </c>
      <c r="C30" s="99"/>
      <c r="D30" s="99"/>
      <c r="E30" s="101">
        <v>5950000</v>
      </c>
      <c r="F30" s="101">
        <v>5950000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customFormat="1" ht="15.75">
      <c r="A31" s="109"/>
      <c r="B31" s="99" t="s">
        <v>185</v>
      </c>
      <c r="C31" s="99"/>
      <c r="D31" s="99"/>
      <c r="E31" s="101"/>
      <c r="F31" s="101">
        <v>3086688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customFormat="1" ht="15.75">
      <c r="A32" s="109"/>
      <c r="B32" s="99" t="s">
        <v>202</v>
      </c>
      <c r="C32" s="99"/>
      <c r="D32" s="99"/>
      <c r="E32" s="101"/>
      <c r="F32" s="101">
        <v>2546244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15.75">
      <c r="A33" s="109"/>
      <c r="B33" s="110" t="s">
        <v>98</v>
      </c>
      <c r="C33" s="106"/>
      <c r="D33" s="106"/>
      <c r="E33" s="107">
        <f>SUM(E25:E30)</f>
        <v>89300600</v>
      </c>
      <c r="F33" s="107">
        <f>SUM(F25:F32)</f>
        <v>94933532</v>
      </c>
    </row>
    <row r="34" spans="1:256" customFormat="1" ht="15.75">
      <c r="A34" s="106"/>
      <c r="B34" s="110"/>
      <c r="C34" s="106"/>
      <c r="D34" s="106"/>
      <c r="E34" s="107"/>
      <c r="F34" s="10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customFormat="1" ht="15.75">
      <c r="A35" s="106"/>
      <c r="B35" s="110" t="s">
        <v>172</v>
      </c>
      <c r="C35" s="106"/>
      <c r="D35" s="106"/>
      <c r="E35" s="107">
        <f>E21+E33</f>
        <v>321246600</v>
      </c>
      <c r="F35" s="107">
        <f>F33+F21</f>
        <v>340582519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customFormat="1" ht="15.75">
      <c r="A36" s="106"/>
      <c r="B36" s="110"/>
      <c r="C36" s="106"/>
      <c r="D36" s="106"/>
      <c r="E36" s="107"/>
      <c r="F36" s="10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customFormat="1" ht="15.75">
      <c r="A37" s="106" t="s">
        <v>203</v>
      </c>
      <c r="B37" s="110"/>
      <c r="C37" s="106"/>
      <c r="D37" s="106"/>
      <c r="E37" s="107"/>
      <c r="F37" s="10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customFormat="1" ht="15.75">
      <c r="A38" s="106" t="s">
        <v>204</v>
      </c>
      <c r="B38" s="110"/>
      <c r="C38" s="106"/>
      <c r="D38" s="106"/>
      <c r="E38" s="107"/>
      <c r="F38" s="10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customFormat="1" ht="15.75">
      <c r="A39" s="106"/>
      <c r="B39" s="106"/>
      <c r="C39" s="106"/>
      <c r="D39" s="106"/>
      <c r="E39" s="107"/>
      <c r="F39" s="10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>
      <c r="A40" s="1" t="s">
        <v>181</v>
      </c>
    </row>
  </sheetData>
  <mergeCells count="5">
    <mergeCell ref="B1:E1"/>
    <mergeCell ref="A6:C6"/>
    <mergeCell ref="A23:C23"/>
    <mergeCell ref="A2:E2"/>
    <mergeCell ref="A4:E4"/>
  </mergeCells>
  <phoneticPr fontId="20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1_</vt:lpstr>
      <vt:lpstr>2A</vt:lpstr>
      <vt:lpstr>2B</vt:lpstr>
      <vt:lpstr>2C</vt:lpstr>
      <vt:lpstr>2D</vt:lpstr>
      <vt:lpstr>3</vt:lpstr>
      <vt:lpstr>4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nagy.edina</cp:lastModifiedBy>
  <dcterms:created xsi:type="dcterms:W3CDTF">2013-02-08T06:54:51Z</dcterms:created>
  <dcterms:modified xsi:type="dcterms:W3CDTF">2015-09-14T11:58:08Z</dcterms:modified>
</cp:coreProperties>
</file>