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nzugy\Molnárné Nagy Edina\KISTÉRSÉG\Kistérség 2021\Költségvetés\"/>
    </mc:Choice>
  </mc:AlternateContent>
  <bookViews>
    <workbookView xWindow="396" yWindow="1032" windowWidth="19812" windowHeight="6888" activeTab="7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6" state="hidden" r:id="rId6"/>
    <sheet name="4" sheetId="7" state="hidden" r:id="rId7"/>
    <sheet name="5" sheetId="8" r:id="rId8"/>
    <sheet name="6" sheetId="11" state="hidden" r:id="rId9"/>
    <sheet name="7" sheetId="12" state="hidden" r:id="rId10"/>
    <sheet name="8" sheetId="13" state="hidden" r:id="rId11"/>
    <sheet name="9" sheetId="14" state="hidden" r:id="rId12"/>
    <sheet name="2021 tagdíj" sheetId="20" state="hidden" r:id="rId13"/>
  </sheets>
  <externalReferences>
    <externalReference r:id="rId14"/>
    <externalReference r:id="rId15"/>
    <externalReference r:id="rId16"/>
    <externalReference r:id="rId17"/>
  </externalReferences>
  <definedNames>
    <definedName name="_xlnm.Print_Area" localSheetId="12">'2021 tagdíj'!$A$1:$J$109</definedName>
  </definedNames>
  <calcPr calcId="162913"/>
</workbook>
</file>

<file path=xl/calcChain.xml><?xml version="1.0" encoding="utf-8"?>
<calcChain xmlns="http://schemas.openxmlformats.org/spreadsheetml/2006/main">
  <c r="D37" i="8" l="1"/>
  <c r="B37" i="8" l="1"/>
  <c r="G36" i="8"/>
  <c r="G38" i="8" s="1"/>
  <c r="E36" i="8"/>
  <c r="D36" i="8"/>
  <c r="C36" i="8"/>
  <c r="B36" i="8"/>
  <c r="C35" i="8"/>
  <c r="D35" i="8"/>
  <c r="E35" i="8"/>
  <c r="F35" i="8"/>
  <c r="F38" i="8" s="1"/>
  <c r="B35" i="8"/>
  <c r="G21" i="8"/>
  <c r="F21" i="8"/>
  <c r="F22" i="8" s="1"/>
  <c r="D21" i="8"/>
  <c r="C21" i="8"/>
  <c r="B21" i="8"/>
  <c r="E20" i="8"/>
  <c r="D20" i="8"/>
  <c r="C20" i="8"/>
  <c r="B20" i="8"/>
  <c r="G19" i="8"/>
  <c r="G22" i="8" s="1"/>
  <c r="E19" i="8"/>
  <c r="D19" i="8"/>
  <c r="C19" i="8"/>
  <c r="B19" i="8"/>
  <c r="G45" i="8"/>
  <c r="C43" i="8"/>
  <c r="C44" i="8"/>
  <c r="E28" i="8"/>
  <c r="D28" i="8"/>
  <c r="D27" i="8"/>
  <c r="F27" i="8"/>
  <c r="C28" i="8"/>
  <c r="G11" i="8"/>
  <c r="H37" i="8" l="1"/>
  <c r="E38" i="8"/>
  <c r="D38" i="8"/>
  <c r="C38" i="8"/>
  <c r="H36" i="8"/>
  <c r="H35" i="8"/>
  <c r="B38" i="8"/>
  <c r="E22" i="8"/>
  <c r="C22" i="8"/>
  <c r="H21" i="8"/>
  <c r="D22" i="8"/>
  <c r="H20" i="8"/>
  <c r="H19" i="8"/>
  <c r="B22" i="8"/>
  <c r="B59" i="3"/>
  <c r="E11" i="8"/>
  <c r="F28" i="2"/>
  <c r="E28" i="2"/>
  <c r="C58" i="3"/>
  <c r="C29" i="5" s="1"/>
  <c r="B29" i="5"/>
  <c r="C48" i="4"/>
  <c r="B58" i="3"/>
  <c r="B48" i="4"/>
  <c r="F33" i="2"/>
  <c r="F30" i="2"/>
  <c r="F24" i="2"/>
  <c r="F25" i="2"/>
  <c r="F26" i="2"/>
  <c r="F27" i="2"/>
  <c r="F29" i="2"/>
  <c r="F23" i="2"/>
  <c r="F31" i="2"/>
  <c r="G33" i="2"/>
  <c r="G30" i="2"/>
  <c r="E33" i="2"/>
  <c r="E31" i="2"/>
  <c r="E30" i="2"/>
  <c r="E27" i="2"/>
  <c r="E25" i="2"/>
  <c r="E23" i="2"/>
  <c r="G21" i="2"/>
  <c r="G19" i="2"/>
  <c r="F19" i="2"/>
  <c r="G25" i="2"/>
  <c r="G24" i="2"/>
  <c r="G23" i="2"/>
  <c r="F12" i="2"/>
  <c r="F13" i="2"/>
  <c r="F14" i="2"/>
  <c r="F15" i="2"/>
  <c r="F17" i="2"/>
  <c r="F11" i="2"/>
  <c r="G18" i="2"/>
  <c r="G16" i="2"/>
  <c r="G15" i="2"/>
  <c r="G12" i="2"/>
  <c r="G13" i="2"/>
  <c r="G11" i="2"/>
  <c r="E19" i="2"/>
  <c r="E15" i="2"/>
  <c r="E14" i="2"/>
  <c r="E13" i="2"/>
  <c r="E12" i="2"/>
  <c r="E11" i="2"/>
  <c r="H38" i="8" l="1"/>
  <c r="H22" i="8"/>
  <c r="D15" i="2"/>
  <c r="C26" i="4"/>
  <c r="F26" i="4" s="1"/>
  <c r="H25" i="4"/>
  <c r="D45" i="4"/>
  <c r="D39" i="4"/>
  <c r="D40" i="4"/>
  <c r="D41" i="4"/>
  <c r="D42" i="4"/>
  <c r="D43" i="4"/>
  <c r="D44" i="4"/>
  <c r="D38" i="4"/>
  <c r="D36" i="4"/>
  <c r="C45" i="4"/>
  <c r="F13" i="4"/>
  <c r="F14" i="4"/>
  <c r="F15" i="4"/>
  <c r="F16" i="4"/>
  <c r="F17" i="4"/>
  <c r="F21" i="4"/>
  <c r="F22" i="4"/>
  <c r="F23" i="4"/>
  <c r="F24" i="4"/>
  <c r="F25" i="4"/>
  <c r="F27" i="4"/>
  <c r="F28" i="4"/>
  <c r="F30" i="4"/>
  <c r="F12" i="4"/>
  <c r="C29" i="4" l="1"/>
  <c r="C18" i="4"/>
  <c r="C27" i="3"/>
  <c r="H26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38" i="3"/>
  <c r="C53" i="3"/>
  <c r="C54" i="3" s="1"/>
  <c r="B54" i="3"/>
  <c r="F22" i="3"/>
  <c r="F23" i="3"/>
  <c r="F24" i="3"/>
  <c r="F25" i="3"/>
  <c r="F29" i="3"/>
  <c r="C30" i="3"/>
  <c r="F13" i="3"/>
  <c r="F14" i="3"/>
  <c r="F15" i="3"/>
  <c r="F16" i="3"/>
  <c r="F18" i="3"/>
  <c r="F12" i="3"/>
  <c r="C17" i="3"/>
  <c r="B17" i="3"/>
  <c r="F23" i="5"/>
  <c r="F25" i="5"/>
  <c r="F27" i="5"/>
  <c r="F30" i="5"/>
  <c r="F31" i="5"/>
  <c r="C35" i="5"/>
  <c r="C32" i="5"/>
  <c r="C22" i="5"/>
  <c r="C19" i="5"/>
  <c r="F18" i="5"/>
  <c r="C15" i="5"/>
  <c r="C42" i="8" l="1"/>
  <c r="C45" i="8" s="1"/>
  <c r="E16" i="2"/>
  <c r="C20" i="4"/>
  <c r="C32" i="4"/>
  <c r="F17" i="3"/>
  <c r="C33" i="3"/>
  <c r="C19" i="3"/>
  <c r="C21" i="3" s="1"/>
  <c r="L75" i="12"/>
  <c r="L76" i="12"/>
  <c r="L51" i="12"/>
  <c r="L52" i="12"/>
  <c r="M18" i="12"/>
  <c r="D25" i="7"/>
  <c r="H15" i="7"/>
  <c r="B33" i="5"/>
  <c r="F33" i="5" s="1"/>
  <c r="B31" i="3"/>
  <c r="F31" i="3" s="1"/>
  <c r="E18" i="2" l="1"/>
  <c r="E21" i="2" s="1"/>
  <c r="F16" i="2"/>
  <c r="F18" i="2" s="1"/>
  <c r="F21" i="2" s="1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35" i="20"/>
  <c r="F35" i="20" s="1"/>
  <c r="C34" i="20"/>
  <c r="E67" i="20" s="1"/>
  <c r="C33" i="20"/>
  <c r="F33" i="20" s="1"/>
  <c r="C32" i="20"/>
  <c r="G32" i="20" s="1"/>
  <c r="C31" i="20"/>
  <c r="F31" i="20" s="1"/>
  <c r="C30" i="20"/>
  <c r="E63" i="20" s="1"/>
  <c r="C29" i="20"/>
  <c r="G29" i="20" s="1"/>
  <c r="C28" i="20"/>
  <c r="E61" i="20" s="1"/>
  <c r="C27" i="20"/>
  <c r="F27" i="20" s="1"/>
  <c r="C26" i="20"/>
  <c r="E59" i="20" s="1"/>
  <c r="C25" i="20"/>
  <c r="G25" i="20" s="1"/>
  <c r="C24" i="20"/>
  <c r="E57" i="20" s="1"/>
  <c r="C23" i="20"/>
  <c r="F23" i="20" s="1"/>
  <c r="C22" i="20"/>
  <c r="E55" i="20" s="1"/>
  <c r="C21" i="20"/>
  <c r="G21" i="20" s="1"/>
  <c r="C20" i="20"/>
  <c r="E20" i="20" s="1"/>
  <c r="C19" i="20"/>
  <c r="E52" i="20" s="1"/>
  <c r="C18" i="20"/>
  <c r="E18" i="20" s="1"/>
  <c r="C17" i="20"/>
  <c r="G17" i="20" s="1"/>
  <c r="C16" i="20"/>
  <c r="G16" i="20" s="1"/>
  <c r="C15" i="20"/>
  <c r="G15" i="20" s="1"/>
  <c r="C14" i="20"/>
  <c r="D47" i="20" s="1"/>
  <c r="C13" i="20"/>
  <c r="E46" i="20" s="1"/>
  <c r="C12" i="20"/>
  <c r="D45" i="20" s="1"/>
  <c r="C11" i="20"/>
  <c r="E44" i="20" s="1"/>
  <c r="C10" i="20"/>
  <c r="D43" i="20" s="1"/>
  <c r="A10" i="20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C9" i="20"/>
  <c r="E42" i="20" s="1"/>
  <c r="E17" i="14"/>
  <c r="E16" i="14"/>
  <c r="J66" i="12"/>
  <c r="K65" i="12"/>
  <c r="J65" i="12"/>
  <c r="C65" i="12"/>
  <c r="B65" i="12"/>
  <c r="L64" i="12"/>
  <c r="L65" i="12" s="1"/>
  <c r="M64" i="12"/>
  <c r="M65" i="12" s="1"/>
  <c r="K64" i="12"/>
  <c r="J64" i="12"/>
  <c r="I64" i="12"/>
  <c r="I65" i="12" s="1"/>
  <c r="H64" i="12"/>
  <c r="H65" i="12" s="1"/>
  <c r="G64" i="12"/>
  <c r="G65" i="12" s="1"/>
  <c r="F64" i="12"/>
  <c r="F65" i="12" s="1"/>
  <c r="E64" i="12"/>
  <c r="E65" i="12" s="1"/>
  <c r="D64" i="12"/>
  <c r="D65" i="12" s="1"/>
  <c r="C64" i="12"/>
  <c r="B64" i="12"/>
  <c r="G51" i="12"/>
  <c r="K42" i="12"/>
  <c r="E49" i="20" l="1"/>
  <c r="E29" i="20"/>
  <c r="F10" i="20"/>
  <c r="E14" i="20"/>
  <c r="F15" i="20"/>
  <c r="E47" i="20"/>
  <c r="F14" i="20"/>
  <c r="C70" i="20"/>
  <c r="D12" i="20"/>
  <c r="E45" i="20"/>
  <c r="E65" i="20"/>
  <c r="D11" i="20"/>
  <c r="E12" i="20"/>
  <c r="E16" i="20"/>
  <c r="G20" i="20"/>
  <c r="E25" i="20"/>
  <c r="E43" i="20"/>
  <c r="E48" i="20"/>
  <c r="E53" i="20"/>
  <c r="G13" i="20"/>
  <c r="E27" i="20"/>
  <c r="G34" i="20"/>
  <c r="D10" i="20"/>
  <c r="G9" i="20"/>
  <c r="E10" i="20"/>
  <c r="F11" i="20"/>
  <c r="F12" i="20"/>
  <c r="D14" i="20"/>
  <c r="D15" i="20"/>
  <c r="E23" i="20"/>
  <c r="E31" i="20"/>
  <c r="E33" i="20"/>
  <c r="E35" i="20"/>
  <c r="E51" i="20"/>
  <c r="E56" i="20"/>
  <c r="E58" i="20"/>
  <c r="E60" i="20"/>
  <c r="E62" i="20"/>
  <c r="E64" i="20"/>
  <c r="E66" i="20"/>
  <c r="E68" i="20"/>
  <c r="E19" i="20"/>
  <c r="D22" i="20"/>
  <c r="D55" i="20"/>
  <c r="F22" i="20"/>
  <c r="D9" i="20"/>
  <c r="G11" i="20"/>
  <c r="D13" i="20"/>
  <c r="F17" i="20"/>
  <c r="D50" i="20"/>
  <c r="D17" i="20"/>
  <c r="G19" i="20"/>
  <c r="F21" i="20"/>
  <c r="D54" i="20"/>
  <c r="D21" i="20"/>
  <c r="E22" i="20"/>
  <c r="E24" i="20"/>
  <c r="D24" i="20"/>
  <c r="D57" i="20"/>
  <c r="F24" i="20"/>
  <c r="D26" i="20"/>
  <c r="D59" i="20"/>
  <c r="F26" i="20"/>
  <c r="E26" i="20"/>
  <c r="E28" i="20"/>
  <c r="D28" i="20"/>
  <c r="D61" i="20"/>
  <c r="F28" i="20"/>
  <c r="D30" i="20"/>
  <c r="D63" i="20"/>
  <c r="F30" i="20"/>
  <c r="E30" i="20"/>
  <c r="E32" i="20"/>
  <c r="D32" i="20"/>
  <c r="D65" i="20"/>
  <c r="F32" i="20"/>
  <c r="D34" i="20"/>
  <c r="D67" i="20"/>
  <c r="F34" i="20"/>
  <c r="E34" i="20"/>
  <c r="E50" i="20"/>
  <c r="E54" i="20"/>
  <c r="F19" i="20"/>
  <c r="D52" i="20"/>
  <c r="D19" i="20"/>
  <c r="D42" i="20"/>
  <c r="C37" i="20"/>
  <c r="E9" i="20"/>
  <c r="D46" i="20"/>
  <c r="E13" i="20"/>
  <c r="D18" i="20"/>
  <c r="D51" i="20"/>
  <c r="F18" i="20"/>
  <c r="F9" i="20"/>
  <c r="D44" i="20"/>
  <c r="E11" i="20"/>
  <c r="F13" i="20"/>
  <c r="D16" i="20"/>
  <c r="D49" i="20"/>
  <c r="F16" i="20"/>
  <c r="E17" i="20"/>
  <c r="G18" i="20"/>
  <c r="D20" i="20"/>
  <c r="D53" i="20"/>
  <c r="F20" i="20"/>
  <c r="E21" i="20"/>
  <c r="G22" i="20"/>
  <c r="G24" i="20"/>
  <c r="G26" i="20"/>
  <c r="G28" i="20"/>
  <c r="G30" i="20"/>
  <c r="G23" i="20"/>
  <c r="G27" i="20"/>
  <c r="G31" i="20"/>
  <c r="G33" i="20"/>
  <c r="G35" i="20"/>
  <c r="G10" i="20"/>
  <c r="G12" i="20"/>
  <c r="F45" i="20" s="1"/>
  <c r="G14" i="20"/>
  <c r="E15" i="20"/>
  <c r="D23" i="20"/>
  <c r="D25" i="20"/>
  <c r="D27" i="20"/>
  <c r="D29" i="20"/>
  <c r="D31" i="20"/>
  <c r="D33" i="20"/>
  <c r="D35" i="20"/>
  <c r="D48" i="20"/>
  <c r="D56" i="20"/>
  <c r="D58" i="20"/>
  <c r="D60" i="20"/>
  <c r="D62" i="20"/>
  <c r="D64" i="20"/>
  <c r="D66" i="20"/>
  <c r="D68" i="20"/>
  <c r="F25" i="20"/>
  <c r="F29" i="20"/>
  <c r="K41" i="12"/>
  <c r="E41" i="12"/>
  <c r="M41" i="12"/>
  <c r="L41" i="12"/>
  <c r="J41" i="12"/>
  <c r="D41" i="12"/>
  <c r="C41" i="12"/>
  <c r="B41" i="12"/>
  <c r="B45" i="12" s="1"/>
  <c r="L40" i="12"/>
  <c r="M40" i="12"/>
  <c r="K40" i="12"/>
  <c r="J40" i="12"/>
  <c r="I40" i="12"/>
  <c r="I41" i="12" s="1"/>
  <c r="H40" i="12"/>
  <c r="H41" i="12" s="1"/>
  <c r="G40" i="12"/>
  <c r="G41" i="12" s="1"/>
  <c r="F40" i="12"/>
  <c r="F41" i="12" s="1"/>
  <c r="E40" i="12"/>
  <c r="D40" i="12"/>
  <c r="C40" i="12"/>
  <c r="F48" i="20" l="1"/>
  <c r="F47" i="20"/>
  <c r="F58" i="20"/>
  <c r="F43" i="20"/>
  <c r="F61" i="20"/>
  <c r="F66" i="20"/>
  <c r="F44" i="20"/>
  <c r="E70" i="20"/>
  <c r="F67" i="20"/>
  <c r="F63" i="20"/>
  <c r="D70" i="20"/>
  <c r="F56" i="20"/>
  <c r="F53" i="20"/>
  <c r="F52" i="20"/>
  <c r="G37" i="20"/>
  <c r="F59" i="20"/>
  <c r="F37" i="20"/>
  <c r="F57" i="20"/>
  <c r="F64" i="20"/>
  <c r="F62" i="20"/>
  <c r="F49" i="20"/>
  <c r="E37" i="20"/>
  <c r="F46" i="20"/>
  <c r="F42" i="20"/>
  <c r="D37" i="20"/>
  <c r="F68" i="20"/>
  <c r="F60" i="20"/>
  <c r="F51" i="20"/>
  <c r="F65" i="20"/>
  <c r="F54" i="20"/>
  <c r="F50" i="20"/>
  <c r="F55" i="20"/>
  <c r="C46" i="11"/>
  <c r="C45" i="11"/>
  <c r="C41" i="11"/>
  <c r="C40" i="11"/>
  <c r="C32" i="11"/>
  <c r="C31" i="11"/>
  <c r="C30" i="11"/>
  <c r="C29" i="11"/>
  <c r="C28" i="11"/>
  <c r="C27" i="11"/>
  <c r="C26" i="11"/>
  <c r="C25" i="11"/>
  <c r="C19" i="11"/>
  <c r="C18" i="11"/>
  <c r="C17" i="11"/>
  <c r="C16" i="11"/>
  <c r="C15" i="11"/>
  <c r="C14" i="11"/>
  <c r="E15" i="7"/>
  <c r="E29" i="8" s="1"/>
  <c r="D15" i="7"/>
  <c r="G29" i="8"/>
  <c r="B26" i="5"/>
  <c r="F29" i="5"/>
  <c r="B13" i="5"/>
  <c r="F13" i="5" s="1"/>
  <c r="B12" i="5"/>
  <c r="F12" i="5" s="1"/>
  <c r="F44" i="8" l="1"/>
  <c r="F26" i="5"/>
  <c r="N25" i="12"/>
  <c r="F70" i="20"/>
  <c r="E28" i="14"/>
  <c r="E19" i="14"/>
  <c r="E18" i="14"/>
  <c r="E11" i="14"/>
  <c r="D11" i="14" s="1"/>
  <c r="E10" i="14"/>
  <c r="D10" i="14" s="1"/>
  <c r="G27" i="8"/>
  <c r="B26" i="3"/>
  <c r="F26" i="3" l="1"/>
  <c r="E27" i="8"/>
  <c r="E9" i="14"/>
  <c r="D9" i="14" s="1"/>
  <c r="C13" i="7"/>
  <c r="E26" i="14"/>
  <c r="C14" i="7"/>
  <c r="G28" i="8"/>
  <c r="F43" i="8" s="1"/>
  <c r="D26" i="14" l="1"/>
  <c r="E29" i="14"/>
  <c r="B17" i="5"/>
  <c r="F17" i="5" s="1"/>
  <c r="B14" i="5" l="1"/>
  <c r="F14" i="5" s="1"/>
  <c r="J29" i="2" l="1"/>
  <c r="J26" i="2"/>
  <c r="J24" i="2"/>
  <c r="M66" i="12" l="1"/>
  <c r="C66" i="12"/>
  <c r="B66" i="12"/>
  <c r="M14" i="12" l="1"/>
  <c r="H14" i="12"/>
  <c r="G14" i="12"/>
  <c r="F14" i="12"/>
  <c r="E14" i="12"/>
  <c r="D14" i="12"/>
  <c r="C14" i="12"/>
  <c r="B14" i="12"/>
  <c r="G37" i="4"/>
  <c r="J20" i="2" l="1"/>
  <c r="J17" i="2"/>
  <c r="D18" i="14" l="1"/>
  <c r="N26" i="12"/>
  <c r="D29" i="8" l="1"/>
  <c r="D14" i="7"/>
  <c r="E14" i="7"/>
  <c r="I13" i="7"/>
  <c r="B27" i="3"/>
  <c r="F27" i="3" s="1"/>
  <c r="C13" i="6"/>
  <c r="B13" i="6"/>
  <c r="G13" i="7" l="1"/>
  <c r="F42" i="8"/>
  <c r="E13" i="7"/>
  <c r="I14" i="7"/>
  <c r="D25" i="14" l="1"/>
  <c r="D24" i="14"/>
  <c r="N68" i="12"/>
  <c r="N44" i="12"/>
  <c r="B13" i="13"/>
  <c r="E15" i="14" l="1"/>
  <c r="G15" i="14" s="1"/>
  <c r="E14" i="14"/>
  <c r="E13" i="14"/>
  <c r="E12" i="14"/>
  <c r="C18" i="13"/>
  <c r="C32" i="13" s="1"/>
  <c r="B18" i="13"/>
  <c r="B32" i="13" s="1"/>
  <c r="M77" i="12"/>
  <c r="L77" i="12"/>
  <c r="K77" i="12"/>
  <c r="J77" i="12"/>
  <c r="I77" i="12"/>
  <c r="H77" i="12"/>
  <c r="G77" i="12"/>
  <c r="F77" i="12"/>
  <c r="E77" i="12"/>
  <c r="D77" i="12"/>
  <c r="C77" i="12"/>
  <c r="B77" i="12"/>
  <c r="N73" i="12"/>
  <c r="J69" i="12"/>
  <c r="H69" i="12"/>
  <c r="F69" i="12"/>
  <c r="D69" i="12"/>
  <c r="B69" i="12"/>
  <c r="N65" i="12"/>
  <c r="M69" i="12"/>
  <c r="L69" i="12"/>
  <c r="K69" i="12"/>
  <c r="I69" i="12"/>
  <c r="G69" i="12"/>
  <c r="E69" i="12"/>
  <c r="C69" i="12"/>
  <c r="N64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B54" i="12" s="1"/>
  <c r="N49" i="12"/>
  <c r="K45" i="12"/>
  <c r="C45" i="12"/>
  <c r="N42" i="12"/>
  <c r="M45" i="12"/>
  <c r="N41" i="12"/>
  <c r="L45" i="12"/>
  <c r="J45" i="12"/>
  <c r="I45" i="12"/>
  <c r="H45" i="12"/>
  <c r="G45" i="12"/>
  <c r="F45" i="12"/>
  <c r="E45" i="12"/>
  <c r="D45" i="12"/>
  <c r="N40" i="12"/>
  <c r="Q40" i="12" s="1"/>
  <c r="L28" i="12"/>
  <c r="J28" i="12"/>
  <c r="I28" i="12"/>
  <c r="H28" i="12"/>
  <c r="G28" i="12"/>
  <c r="F28" i="12"/>
  <c r="E28" i="12"/>
  <c r="D28" i="12"/>
  <c r="C28" i="12"/>
  <c r="B28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N52" i="12"/>
  <c r="B14" i="7"/>
  <c r="N76" i="12"/>
  <c r="G16" i="7"/>
  <c r="N74" i="12"/>
  <c r="H14" i="6"/>
  <c r="D14" i="6"/>
  <c r="C14" i="6"/>
  <c r="B14" i="6"/>
  <c r="H13" i="6"/>
  <c r="B43" i="8"/>
  <c r="B42" i="8"/>
  <c r="B28" i="8"/>
  <c r="F30" i="8"/>
  <c r="C27" i="8"/>
  <c r="D12" i="8"/>
  <c r="C12" i="8"/>
  <c r="B12" i="8"/>
  <c r="C11" i="8"/>
  <c r="B11" i="8"/>
  <c r="M28" i="12"/>
  <c r="F15" i="7"/>
  <c r="B24" i="5"/>
  <c r="F24" i="5" s="1"/>
  <c r="N17" i="12"/>
  <c r="D13" i="8"/>
  <c r="N50" i="12"/>
  <c r="N43" i="12"/>
  <c r="B13" i="7"/>
  <c r="C29" i="2"/>
  <c r="C26" i="2"/>
  <c r="C24" i="2"/>
  <c r="C17" i="2"/>
  <c r="C54" i="12" l="1"/>
  <c r="D54" i="12" s="1"/>
  <c r="E54" i="12" s="1"/>
  <c r="F54" i="12" s="1"/>
  <c r="G54" i="12" s="1"/>
  <c r="H54" i="12" s="1"/>
  <c r="I54" i="12" s="1"/>
  <c r="J54" i="12" s="1"/>
  <c r="K54" i="12" s="1"/>
  <c r="L54" i="12" s="1"/>
  <c r="M54" i="12" s="1"/>
  <c r="G13" i="14"/>
  <c r="E20" i="14"/>
  <c r="E31" i="14" s="1"/>
  <c r="C16" i="7"/>
  <c r="C13" i="11" s="1"/>
  <c r="E16" i="7"/>
  <c r="N45" i="12"/>
  <c r="B27" i="8"/>
  <c r="C30" i="8"/>
  <c r="B29" i="12"/>
  <c r="C29" i="12" s="1"/>
  <c r="D29" i="12" s="1"/>
  <c r="E29" i="12" s="1"/>
  <c r="F29" i="12" s="1"/>
  <c r="G29" i="12" s="1"/>
  <c r="H29" i="12" s="1"/>
  <c r="I29" i="12" s="1"/>
  <c r="J29" i="12" s="1"/>
  <c r="B78" i="12"/>
  <c r="C78" i="12" s="1"/>
  <c r="D78" i="12" s="1"/>
  <c r="E78" i="12" s="1"/>
  <c r="F78" i="12" s="1"/>
  <c r="G78" i="12" s="1"/>
  <c r="H78" i="12" s="1"/>
  <c r="I78" i="12" s="1"/>
  <c r="J78" i="12" s="1"/>
  <c r="K78" i="12" s="1"/>
  <c r="L78" i="12" s="1"/>
  <c r="M78" i="12" s="1"/>
  <c r="E13" i="6"/>
  <c r="N67" i="12"/>
  <c r="E12" i="8"/>
  <c r="H12" i="8" s="1"/>
  <c r="B18" i="4"/>
  <c r="F18" i="4" s="1"/>
  <c r="E14" i="6"/>
  <c r="I14" i="6" s="1"/>
  <c r="D13" i="2"/>
  <c r="D16" i="2"/>
  <c r="B44" i="8"/>
  <c r="H15" i="6"/>
  <c r="H16" i="6" s="1"/>
  <c r="B16" i="2"/>
  <c r="J16" i="2" s="1"/>
  <c r="B25" i="2"/>
  <c r="J25" i="2" s="1"/>
  <c r="D15" i="6"/>
  <c r="F16" i="7"/>
  <c r="D25" i="2"/>
  <c r="G30" i="8"/>
  <c r="N15" i="12"/>
  <c r="B29" i="8"/>
  <c r="B23" i="2"/>
  <c r="J23" i="2" s="1"/>
  <c r="N23" i="12"/>
  <c r="D23" i="2"/>
  <c r="B15" i="7"/>
  <c r="B28" i="2"/>
  <c r="J28" i="2" s="1"/>
  <c r="B45" i="8" l="1"/>
  <c r="C16" i="2"/>
  <c r="E14" i="8"/>
  <c r="B20" i="4"/>
  <c r="F20" i="4" s="1"/>
  <c r="E16" i="6"/>
  <c r="C25" i="2"/>
  <c r="K28" i="12"/>
  <c r="K29" i="12" s="1"/>
  <c r="L29" i="12" s="1"/>
  <c r="M29" i="12" s="1"/>
  <c r="B30" i="8"/>
  <c r="H29" i="8"/>
  <c r="C28" i="2"/>
  <c r="B16" i="7"/>
  <c r="C23" i="2"/>
  <c r="D13" i="6" l="1"/>
  <c r="D11" i="8"/>
  <c r="N66" i="12"/>
  <c r="B13" i="2"/>
  <c r="B19" i="3"/>
  <c r="F19" i="3" s="1"/>
  <c r="N69" i="12" l="1"/>
  <c r="B21" i="3"/>
  <c r="F21" i="3" s="1"/>
  <c r="D14" i="8"/>
  <c r="H11" i="8"/>
  <c r="D13" i="7"/>
  <c r="J13" i="2"/>
  <c r="C13" i="2"/>
  <c r="D16" i="6"/>
  <c r="I13" i="6"/>
  <c r="D30" i="8" l="1"/>
  <c r="D16" i="7"/>
  <c r="N27" i="12" l="1"/>
  <c r="I15" i="7"/>
  <c r="F45" i="8"/>
  <c r="B31" i="2"/>
  <c r="I16" i="7" l="1"/>
  <c r="J15" i="7"/>
  <c r="C31" i="2"/>
  <c r="N28" i="12"/>
  <c r="D12" i="2" l="1"/>
  <c r="C13" i="8"/>
  <c r="C14" i="8" s="1"/>
  <c r="N14" i="12"/>
  <c r="C15" i="6"/>
  <c r="C16" i="6" s="1"/>
  <c r="B12" i="2"/>
  <c r="N13" i="12"/>
  <c r="D11" i="2"/>
  <c r="B13" i="8"/>
  <c r="B15" i="6"/>
  <c r="B11" i="2"/>
  <c r="J12" i="2" l="1"/>
  <c r="C12" i="2"/>
  <c r="J11" i="2"/>
  <c r="C11" i="2"/>
  <c r="B14" i="8"/>
  <c r="B16" i="6"/>
  <c r="C20" i="11" l="1"/>
  <c r="D27" i="2" l="1"/>
  <c r="D30" i="2" s="1"/>
  <c r="D33" i="2" s="1"/>
  <c r="C19" i="7"/>
  <c r="C24" i="7"/>
  <c r="C21" i="11"/>
  <c r="D17" i="11" s="1"/>
  <c r="C22" i="7"/>
  <c r="C22" i="11"/>
  <c r="C23" i="7"/>
  <c r="B15" i="5" l="1"/>
  <c r="C42" i="11"/>
  <c r="B28" i="5"/>
  <c r="F28" i="5" s="1"/>
  <c r="C25" i="7"/>
  <c r="E25" i="7" s="1"/>
  <c r="B15" i="2" l="1"/>
  <c r="F15" i="5"/>
  <c r="H14" i="7"/>
  <c r="B45" i="4"/>
  <c r="C24" i="11"/>
  <c r="C43" i="11"/>
  <c r="B27" i="2"/>
  <c r="B32" i="5"/>
  <c r="G13" i="8"/>
  <c r="G14" i="8" s="1"/>
  <c r="G15" i="6"/>
  <c r="G16" i="6" s="1"/>
  <c r="N16" i="12"/>
  <c r="D18" i="2"/>
  <c r="B35" i="5" l="1"/>
  <c r="F35" i="5" s="1"/>
  <c r="F32" i="5"/>
  <c r="H13" i="7"/>
  <c r="D19" i="2"/>
  <c r="C33" i="11"/>
  <c r="D22" i="11"/>
  <c r="H28" i="8"/>
  <c r="N51" i="12"/>
  <c r="J14" i="7"/>
  <c r="K14" i="7" s="1"/>
  <c r="J27" i="2"/>
  <c r="C27" i="2"/>
  <c r="B30" i="2"/>
  <c r="C44" i="11"/>
  <c r="C47" i="11" s="1"/>
  <c r="J15" i="2"/>
  <c r="B18" i="2"/>
  <c r="C18" i="2" l="1"/>
  <c r="J18" i="2"/>
  <c r="J30" i="2"/>
  <c r="C30" i="2"/>
  <c r="B33" i="2"/>
  <c r="C33" i="2" s="1"/>
  <c r="J13" i="7"/>
  <c r="N75" i="12"/>
  <c r="H16" i="7"/>
  <c r="N53" i="12"/>
  <c r="D21" i="2"/>
  <c r="J16" i="7" l="1"/>
  <c r="K13" i="7"/>
  <c r="E30" i="8"/>
  <c r="H27" i="8"/>
  <c r="H30" i="8" s="1"/>
  <c r="N54" i="12"/>
  <c r="N77" i="12"/>
  <c r="N78" i="12" s="1"/>
  <c r="B29" i="4" l="1"/>
  <c r="F29" i="4" s="1"/>
  <c r="B28" i="3"/>
  <c r="F28" i="3" s="1"/>
  <c r="B30" i="3" l="1"/>
  <c r="F30" i="3" s="1"/>
  <c r="B32" i="4"/>
  <c r="F32" i="4" s="1"/>
  <c r="B33" i="3" l="1"/>
  <c r="F33" i="3" s="1"/>
  <c r="B16" i="5" l="1"/>
  <c r="F16" i="5" s="1"/>
  <c r="B19" i="5" l="1"/>
  <c r="F19" i="5" s="1"/>
  <c r="B20" i="5"/>
  <c r="F13" i="8" s="1"/>
  <c r="N18" i="12" l="1"/>
  <c r="N19" i="12" s="1"/>
  <c r="F20" i="5"/>
  <c r="F14" i="8"/>
  <c r="H13" i="8"/>
  <c r="H14" i="8" s="1"/>
  <c r="F15" i="6"/>
  <c r="F16" i="6" s="1"/>
  <c r="B19" i="2"/>
  <c r="B21" i="2" s="1"/>
  <c r="B22" i="5"/>
  <c r="F22" i="5" s="1"/>
  <c r="C19" i="2" l="1"/>
  <c r="J19" i="2"/>
  <c r="I15" i="6"/>
  <c r="K15" i="7" s="1"/>
  <c r="J21" i="2"/>
  <c r="C21" i="2"/>
  <c r="I16" i="6" l="1"/>
</calcChain>
</file>

<file path=xl/sharedStrings.xml><?xml version="1.0" encoding="utf-8"?>
<sst xmlns="http://schemas.openxmlformats.org/spreadsheetml/2006/main" count="812" uniqueCount="369">
  <si>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</si>
  <si>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</si>
  <si>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</si>
  <si>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</si>
  <si>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</si>
  <si>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</si>
  <si>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</si>
  <si>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</si>
  <si>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</si>
  <si>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</si>
  <si>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</si>
  <si>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PÉNZFORGALMI MÉRLEG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</si>
  <si>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</si>
  <si>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</si>
  <si>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</si>
  <si>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</si>
  <si>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</si>
  <si>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</si>
  <si>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</si>
  <si>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</si>
  <si>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</si>
  <si>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</si>
  <si>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</si>
  <si>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</si>
  <si>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</si>
  <si>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</si>
  <si>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</si>
  <si>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</si>
  <si>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</si>
  <si>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</si>
  <si>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</si>
  <si>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</si>
  <si>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</si>
  <si>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</si>
  <si>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</si>
  <si>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</si>
  <si>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</si>
  <si>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</si>
  <si>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</si>
  <si>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</si>
  <si>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</si>
  <si>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</si>
  <si>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</si>
  <si>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</si>
  <si>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</si>
  <si>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</si>
  <si>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</si>
  <si>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kötelező feladat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</si>
  <si>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</si>
  <si>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</si>
  <si>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</si>
  <si>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</si>
  <si>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</si>
  <si>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</si>
  <si>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</si>
  <si>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</si>
  <si>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</si>
  <si>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</si>
  <si>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intézmény üzemeltetési támogatás</t>
  </si>
  <si>
    <t>Felügyeleti szervtől átvett támogatás</t>
  </si>
  <si>
    <t>Szociális és gyermekjóléti alapszolg., állami támogatás</t>
  </si>
  <si>
    <t>Gyermekek átmeneti int. Ellátása, állami támogatás</t>
  </si>
  <si>
    <t>Összesen</t>
  </si>
  <si>
    <t>*</t>
  </si>
  <si>
    <t>Felügyelet alá tartozó költségvetési szerv. Támogat.</t>
  </si>
  <si>
    <t>K915</t>
  </si>
  <si>
    <t>Kiadások összefoglalása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</si>
  <si>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</si>
  <si>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</si>
  <si>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</si>
  <si>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</si>
  <si>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</si>
  <si>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</si>
  <si>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</si>
  <si>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 xml:space="preserve"> Bevételek összefoglalása</t>
  </si>
  <si>
    <t>Intézmény saját bevételei</t>
  </si>
  <si>
    <t>MÖK támogatás</t>
  </si>
  <si>
    <t>Egyéb támogatás értékű műk. bevétel</t>
  </si>
  <si>
    <t>Feladatfinanszírozás</t>
  </si>
  <si>
    <t>Kiadások és Bevételek működési egyensúlya</t>
  </si>
  <si>
    <t>Jogcím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</si>
  <si>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</si>
  <si>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</si>
  <si>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</si>
  <si>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</si>
  <si>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Magyar Államkincstár</t>
  </si>
  <si>
    <t>Mosonmagyaróvár Város Önkormányzata</t>
  </si>
  <si>
    <t>Összesen:</t>
  </si>
  <si>
    <t>1. oldal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</si>
  <si>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</si>
  <si>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</si>
  <si>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</si>
  <si>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Társulás által átadandó pénzeszköz</t>
  </si>
  <si>
    <t>Karolina Kórház - Rendelőintézet</t>
  </si>
  <si>
    <t>Orvosi gép-, műszer beszerzés támogatása</t>
  </si>
  <si>
    <t>Kistérségi Egyesített Szociális Intézet</t>
  </si>
  <si>
    <t>2. oldal</t>
  </si>
  <si>
    <t>Havi bontás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</si>
  <si>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</si>
  <si>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</si>
  <si>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</si>
  <si>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</si>
  <si>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</si>
  <si>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</si>
  <si>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</si>
  <si>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</si>
  <si>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</si>
  <si>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</si>
  <si>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</si>
  <si>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</si>
  <si>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</si>
  <si>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Kiadásnem</t>
  </si>
  <si>
    <t>Személyi juttatás</t>
  </si>
  <si>
    <t>Támogatások</t>
  </si>
  <si>
    <t>Beruházási kiadás</t>
  </si>
  <si>
    <t>Kiadások összesen</t>
  </si>
  <si>
    <t>Bevétel</t>
  </si>
  <si>
    <t>Egyéb támogatás</t>
  </si>
  <si>
    <t>Bevételek összesen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</si>
  <si>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</si>
  <si>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</si>
  <si>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</si>
  <si>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</si>
  <si>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</si>
  <si>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</si>
  <si>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</si>
  <si>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</si>
  <si>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</si>
  <si>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</si>
  <si>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</si>
  <si>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</si>
  <si>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</si>
  <si>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</si>
  <si>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</si>
  <si>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Kórház támogatására</t>
  </si>
  <si>
    <t>Szolidaritási alap</t>
  </si>
  <si>
    <t>10 Ft/lakos</t>
  </si>
  <si>
    <t>Felújítási alap</t>
  </si>
  <si>
    <t>K5</t>
  </si>
  <si>
    <t>K513</t>
  </si>
  <si>
    <t>B16, 816</t>
  </si>
  <si>
    <t>Térségi tagdíj, felújítási alap, szolidaritási alap, orvosi gép- műszer beszerzés támogatása</t>
  </si>
  <si>
    <t>Mosonmagyaróvári Polgármesteri Hivatal</t>
  </si>
  <si>
    <t>Társulási feladatok ellátására hozzájárulás</t>
  </si>
  <si>
    <t>Időskorúak nappali int. ellátása</t>
  </si>
  <si>
    <t>Fogyatékos személyek napp. int. ellátása</t>
  </si>
  <si>
    <t>Foglalkoztatási támogatásban rész. fogy.</t>
  </si>
  <si>
    <t>Demens szem. napp. int. ellátása</t>
  </si>
  <si>
    <t>Hajléktalanok Átmeneti Szállása</t>
  </si>
  <si>
    <t>Bértámogatás</t>
  </si>
  <si>
    <t>Intézmény-üzemeltetési támogatás</t>
  </si>
  <si>
    <t>Eredeti előirányzat</t>
  </si>
  <si>
    <t>mutató</t>
  </si>
  <si>
    <t>Rovat: B113</t>
  </si>
  <si>
    <t>Feladat</t>
  </si>
  <si>
    <t>Mindösszesen</t>
  </si>
  <si>
    <t>Maradvány felhasználást</t>
  </si>
  <si>
    <t>Maradvány felhasználás</t>
  </si>
  <si>
    <t>GYÁÓ bértámogatás és intézményüzemeltetési támogatás</t>
  </si>
  <si>
    <t>Civil szervezet számára Tanács döntése alapján</t>
  </si>
  <si>
    <t>Jubileumi jutalomra, felmentési bérre átadandó</t>
  </si>
  <si>
    <t>Intézményi működési bevétel</t>
  </si>
  <si>
    <t>Család és gyermekjóléti szolgálat</t>
  </si>
  <si>
    <t>Család és gyermekjóléti központ</t>
  </si>
  <si>
    <t>Család és Gyermekjóléti Központ</t>
  </si>
  <si>
    <t>Felhalmozási projekt bevétel</t>
  </si>
  <si>
    <t>tárgyévi adatok  Ft-ban</t>
  </si>
  <si>
    <t>tárgyévi adatok Ft-ban</t>
  </si>
  <si>
    <t>270 Ft/lakos</t>
  </si>
  <si>
    <t>adatok  Ft-ban</t>
  </si>
  <si>
    <t>Működési kiadások  Ft</t>
  </si>
  <si>
    <t>Működési bevételek Ft</t>
  </si>
  <si>
    <t>Felhalmozási kiadások  Ft</t>
  </si>
  <si>
    <t>Felhalmozási bevételek  Ft</t>
  </si>
  <si>
    <t>Felhalmozási és tőke jellegű bevételek, felhalmozási célú pénzeszköz átvételek</t>
  </si>
  <si>
    <t>Család- és Gyermekjóléti Szolgálat</t>
  </si>
  <si>
    <t>Család- és Gyermekjóléti Központ Hatósági és Speciális Munkacsoporot</t>
  </si>
  <si>
    <t>Idősek klubja</t>
  </si>
  <si>
    <t>FÉNI</t>
  </si>
  <si>
    <t>Beszedett pótlólagos hozzájárulásból intézményre osztott**</t>
  </si>
  <si>
    <t>Térségi Társulástól érkező támogatás hozzájárulások*</t>
  </si>
  <si>
    <t>Gyermekjóléti szolgálat működéséhez kapcsolódó hozzájárulás</t>
  </si>
  <si>
    <t>Intézményi hiány gesztor önkormányzat támogatásával való kifinanszírozása</t>
  </si>
  <si>
    <t xml:space="preserve">Állami támogatással finanszírozott feladatok ellátásra </t>
  </si>
  <si>
    <t>Fejlesztő foglalkoztatás támogatása (gesztor önkormányzaton keresztül)</t>
  </si>
  <si>
    <t>Jelzőrendszer támogatása (gesztor önkormányzaton keresztül)</t>
  </si>
  <si>
    <t>Gesztor önkormányzati hozzájáruláson kívüli tagtelepülések hozzájárulása</t>
  </si>
  <si>
    <t xml:space="preserve">Család és Gyermekjóléti Központ működésének finanszírozásához </t>
  </si>
  <si>
    <t xml:space="preserve">Kistérségi Egyesített Szociális Intézmény működésének finanszírozásához </t>
  </si>
  <si>
    <t>Gesztor önkormányzati hozzájáruláson kívüli tagtelepülések támogatása</t>
  </si>
  <si>
    <t>Család és Gyermekjóléti központ összevont ágazati pótlék becsült összege</t>
  </si>
  <si>
    <t>Kistérségi Egyesített Szociális Intézmény összevont ágazati pótlék becsült összege</t>
  </si>
  <si>
    <t>Kistérségi Egyesített Szociális Intézmény éjjeli menedékhely becsült támogatása</t>
  </si>
  <si>
    <t>Működési támogatás, mely tartalmazza normatív állami támogatást, feladatalapú támogatást, MÖK hozzájárulást, tagtelepülések társulási hozzájárulást</t>
  </si>
  <si>
    <t>Magyar Államkincstár (közvetelenül intézménynél tervezve)</t>
  </si>
  <si>
    <t>Mosonmagyaróvár Térségi Társulás (projektekhez kapcsolódó megbízási díj került betervezésre, állandó létszámhely nincs</t>
  </si>
  <si>
    <t>CSGYK bértámogatás</t>
  </si>
  <si>
    <t>társulási működésre</t>
  </si>
  <si>
    <t>Lakosságszám</t>
  </si>
  <si>
    <t>Meglévő tagdíj 270 Ft/lakos</t>
  </si>
  <si>
    <t>Település</t>
  </si>
  <si>
    <t>Ásványráró</t>
  </si>
  <si>
    <t>Bezenye</t>
  </si>
  <si>
    <t>Darnózseli</t>
  </si>
  <si>
    <t>Dunakiliti</t>
  </si>
  <si>
    <t>Dunaremete</t>
  </si>
  <si>
    <t>Dunasziget</t>
  </si>
  <si>
    <t>Feketeerdő</t>
  </si>
  <si>
    <t>Halászi</t>
  </si>
  <si>
    <t>Hegyeshalom</t>
  </si>
  <si>
    <t>Hédervár</t>
  </si>
  <si>
    <t>Jánossomorja</t>
  </si>
  <si>
    <t>Károlyháza</t>
  </si>
  <si>
    <t>Kimle</t>
  </si>
  <si>
    <t>Kisbodak</t>
  </si>
  <si>
    <t>Levél</t>
  </si>
  <si>
    <t>Lébény</t>
  </si>
  <si>
    <t>Lipót</t>
  </si>
  <si>
    <t>Máriakálnok</t>
  </si>
  <si>
    <t>Mecsér</t>
  </si>
  <si>
    <t>Mosonmagyaróvár</t>
  </si>
  <si>
    <t>Mosonszentmiklós</t>
  </si>
  <si>
    <t>Mosonszolnok</t>
  </si>
  <si>
    <t>Mosonudvar</t>
  </si>
  <si>
    <t>Püski</t>
  </si>
  <si>
    <t>Rajka</t>
  </si>
  <si>
    <t>Újrónafő</t>
  </si>
  <si>
    <t>Várbalog</t>
  </si>
  <si>
    <t>Óvodai és iskolai szociális segítő tevékenység  (2018. szeptember 1-jétől)</t>
  </si>
  <si>
    <t>adatokFt-ban</t>
  </si>
  <si>
    <t>Tervezett kiadások összesítése  Ft</t>
  </si>
  <si>
    <t>Tervezett  bevételek összesítéseFt</t>
  </si>
  <si>
    <t>Összege Ft-ban</t>
  </si>
  <si>
    <t>Összege  Ft-ban</t>
  </si>
  <si>
    <t>*Az intézmény finanszírozásába mint bevétel beszámítási kerül a gyermekjóléti szolgálatra fizetendő hozzájárulás üzemeltetési támogatás szerinti létszámarányos része.</t>
  </si>
  <si>
    <t>valamint 48/2017. (XI.07.) TT határozat alapján</t>
  </si>
  <si>
    <t>Mosonmagyaróvár Térségi Társulás*</t>
  </si>
  <si>
    <t xml:space="preserve">* A Térségi Társulásnál maradó tagok által fizetett tagdíj és hozzájárulások a következő tételekből állnak: </t>
  </si>
  <si>
    <t>- Társulás működésére (270 Ft/lakos)</t>
  </si>
  <si>
    <t>- kórházi eszközök beszerzésére (20 Ft/lakos)</t>
  </si>
  <si>
    <t>- szolidartiási alap (10 Ft/lakos)</t>
  </si>
  <si>
    <t>- felújítási alap (100 Ft/lakos)</t>
  </si>
  <si>
    <t>intézményekre felosztva</t>
  </si>
  <si>
    <t>CSGYK megjelenítve</t>
  </si>
  <si>
    <t>Társulás kifizetés</t>
  </si>
  <si>
    <t>Gyemekjóléti szolgálat támogatása 100 Ft/lakos</t>
  </si>
  <si>
    <t>Kórházi eszközök beszerzése 20 Ft/lakos</t>
  </si>
  <si>
    <t>tartalék</t>
  </si>
  <si>
    <t>Szolidaritási alap 10 Ft/lakos</t>
  </si>
  <si>
    <t>Felújítási alap 100 Ft/lakos</t>
  </si>
  <si>
    <t>Fizetési kötelezettség összesen</t>
  </si>
  <si>
    <t>Család és Gyermekjóléti központ bérkompenzáció becsült összege</t>
  </si>
  <si>
    <t>Kistérségi Egyesített Szociális Intézmény bérkompenzáció becsült összege</t>
  </si>
  <si>
    <t>Kistérségi Egyesített Szociális Intézmény egészségügyi pótlék becsült összege</t>
  </si>
  <si>
    <t>Térségi társulás működéséhez és egyéb alapokhoz és intézmények működéséhez való hozzájárulás</t>
  </si>
  <si>
    <t>halmozott egyenleg</t>
  </si>
  <si>
    <t>Éjjeli menedékhely</t>
  </si>
  <si>
    <t>Óvodai és iskolai szociáis segítő tevékenység támgoatása</t>
  </si>
  <si>
    <t>Óvodai és iskolai szociális segítő tevékenység</t>
  </si>
  <si>
    <t>Maradvány felhasználás/Társulási forrásból</t>
  </si>
  <si>
    <t>1223 Ft/lakos</t>
  </si>
  <si>
    <t>kiegészítő hozzájárulás (580 Ft+643 Ft)</t>
  </si>
  <si>
    <t>580 Ft + 643 Ft/lakos=1 223 Ft/lakos</t>
  </si>
  <si>
    <t>összes gesztor Önk. Támogatás</t>
  </si>
  <si>
    <t>gesztor Önk. Kívüli tagtelepülési támogatások</t>
  </si>
  <si>
    <t xml:space="preserve">Kistérségi Egyesített Szociális Intézmény működésének támogatása működési hiány finanszírozása </t>
  </si>
  <si>
    <t xml:space="preserve">Család és Gyermekjóléti Központ működési hiány finanszírozása </t>
  </si>
  <si>
    <t>Család és Gyermekjóléti Központ valamint a Kistérségi Egyesített Szociális Intézmény működésének finanszírozása</t>
  </si>
  <si>
    <t>valamint  5/2019. (II.26.) TT határozat alapján</t>
  </si>
  <si>
    <t>**Az 1.223 Ft összegű kiegészítő tagdíj az üzemeltetési támogatás alapján meghatározott átlaglétszám szerint került felosztásra.</t>
  </si>
  <si>
    <t>KISTÉRSÉGI EGYESÍTETT SZOCIÁLIS INTÉZMÉNY</t>
  </si>
  <si>
    <t>MOSONMAGYARÓVÁR TÉRSÉGI TÁRSULÁS ÉS KÖLTSÉGVETÉSI SZERVEI</t>
  </si>
  <si>
    <t>Mosonmagyaróvár  Térségi Társulás Tanácsa</t>
  </si>
  <si>
    <t>2021. ÉVI KÖLTSÉGVETÉSI HATOZATÁHOZ</t>
  </si>
  <si>
    <t>előirányzat 2021</t>
  </si>
  <si>
    <t xml:space="preserve">térségi társulás működési támogatása </t>
  </si>
  <si>
    <t xml:space="preserve">            ebből: költségvetési támogatás</t>
  </si>
  <si>
    <t>Jelzőrendszer- és fejlesztő foglalkoztatás és utcai szociális munka támogatás átvétele</t>
  </si>
  <si>
    <t>Bértámogatás szociális szféra*</t>
  </si>
  <si>
    <t>* A bértámogatás a két intézmény között az átlagos létszám alapján került megosztásra.</t>
  </si>
  <si>
    <t>2021. év</t>
  </si>
  <si>
    <t>ebből: költségvetési támogatás</t>
  </si>
  <si>
    <t>2021. év terv</t>
  </si>
  <si>
    <t>Pályázati források bevételi forrása</t>
  </si>
  <si>
    <t>2021. ÉVI KÖLTSÉGVETÉSI HATÁROZATÁHOZ</t>
  </si>
  <si>
    <t>Nemzeti Szociálpolitikai Intézet</t>
  </si>
  <si>
    <t>Utcai szociális munka (gesztor önkormányzaton keresztül)</t>
  </si>
  <si>
    <t>Intézmények jövőbeli fejlesztésére vagy működési támogatására elkülönített forrás</t>
  </si>
  <si>
    <t xml:space="preserve">Hajléktalanokért Közalapítvány 2021-Covid azonosítójelű pályázata </t>
  </si>
  <si>
    <t>Kistérségi Egyesített Szociális Intézmény "komfort növelő eszközbeszerzés"</t>
  </si>
  <si>
    <t>Kistérségi Egyesített Szociális Intézmény "hajléktalanszálló zsúfoltságának csökkentése, elkülönítés lehetőségének megteremtése"</t>
  </si>
  <si>
    <t>Működési támogatás, mely tartalmazza normatív állami támogatást, feladatalapú támogatást, MÖK hozzájárulást, tagtelepülések társulási hozzájárulását, jelzőrendszer- és fejlesztő foglalkoztatás, utcai szociális munka támogatás átadását</t>
  </si>
  <si>
    <t>likviditási ütemterve 2021. év Ft-ban</t>
  </si>
  <si>
    <t>Tartalék felhasználás</t>
  </si>
  <si>
    <t>likviditási ütemterve 2021. év  Ft-ban</t>
  </si>
  <si>
    <t>2021. január 1.</t>
  </si>
  <si>
    <t>Gondozóház, főzőkonyha, karbantartás</t>
  </si>
  <si>
    <t>Nappali melegedő</t>
  </si>
  <si>
    <t>Utcai szociális munka</t>
  </si>
  <si>
    <t>Állami támogatások 2021. év</t>
  </si>
  <si>
    <t>Fajlagos támogatás 2020. évi XC. tv. alapján</t>
  </si>
  <si>
    <t>4 100 000 Ft/mutató</t>
  </si>
  <si>
    <t>3 650 000 Ft/mutató</t>
  </si>
  <si>
    <t>4 234 040 Ft/mutató</t>
  </si>
  <si>
    <t>Hajléktalanok napp. int. ellátása</t>
  </si>
  <si>
    <t>Hajléktalanok napp. Int. Ellátása - kiemelt intézmény</t>
  </si>
  <si>
    <t>1.3.2.3.2</t>
  </si>
  <si>
    <t>1.3.2.4.3</t>
  </si>
  <si>
    <t>1.3.2.6.2</t>
  </si>
  <si>
    <t>1.3.2.7.2</t>
  </si>
  <si>
    <t>1.3.2.7.4</t>
  </si>
  <si>
    <t>1.3.2.8.2</t>
  </si>
  <si>
    <t>1.3.2.11.2</t>
  </si>
  <si>
    <t>1.3.2.11.3</t>
  </si>
  <si>
    <t>1.3.2.13.5</t>
  </si>
  <si>
    <t>1.3.4.1</t>
  </si>
  <si>
    <t>1.3.4.2</t>
  </si>
  <si>
    <t>1.3.2.1</t>
  </si>
  <si>
    <t>1.3.2.2</t>
  </si>
  <si>
    <t>Mosonmagyaróvár Térségi Társulás tagjai által fizetendő hozzájárulások, tagdjíak 2021. év</t>
  </si>
  <si>
    <t>1. SZ. MELLÉKLET</t>
  </si>
  <si>
    <t>2./A SZ. MELLÉKLET</t>
  </si>
  <si>
    <t>2./B SZ. MELLÉKLET</t>
  </si>
  <si>
    <t>2./C SZ. MELLÉKLET</t>
  </si>
  <si>
    <t>2./D SZ. MELLÉKLET</t>
  </si>
  <si>
    <t>3. SZ. MELLÉKLET</t>
  </si>
  <si>
    <t>4. SZ. MELLÉKLET</t>
  </si>
  <si>
    <t>6. SZ. MELLÉKLET</t>
  </si>
  <si>
    <t>7. SZ. MELLÉKLET</t>
  </si>
  <si>
    <t>9. sz. melléklet</t>
  </si>
  <si>
    <t>10. sz. melléklet</t>
  </si>
  <si>
    <t>Mosonmagyaróvár Térségi Társulás (pályázati forrás!)</t>
  </si>
  <si>
    <t>Társulás előző évi maradványából biztosított forrás</t>
  </si>
  <si>
    <t>Mosonmagyaróvár, 2021. március 2.</t>
  </si>
  <si>
    <t>Mosonmagyaróvár, 2021. március 2</t>
  </si>
  <si>
    <t>Társulás tagjai által finanszírozott forrás  tagdíj, hozzájárulás, maradvány forrásból</t>
  </si>
  <si>
    <t xml:space="preserve">          '- ebből KESZI működésére igénybe vett</t>
  </si>
  <si>
    <t xml:space="preserve">          '- ebből CSGYK működésére igénybe vett</t>
  </si>
  <si>
    <t>Társulásnál maradó</t>
  </si>
  <si>
    <t>Mosonmagyaróvár,2021. március 2.</t>
  </si>
  <si>
    <t>2021. évi költségvetéséről szóló 25/2021. (III.11.) elnöki határozatot</t>
  </si>
  <si>
    <t>módosításító  ……./2021. (IX.28.) TT. Határozat</t>
  </si>
  <si>
    <t>módosított</t>
  </si>
  <si>
    <t>előirányzat 2021.06.30</t>
  </si>
  <si>
    <t>előirányzat 2021. adatok</t>
  </si>
  <si>
    <t>Mosonmagyaróvár, 2021. szeptember 21.</t>
  </si>
  <si>
    <t xml:space="preserve">előirányzat 2021. </t>
  </si>
  <si>
    <t>előirányzat 2021.06.30.</t>
  </si>
  <si>
    <t xml:space="preserve">Felhalmozási kiadások </t>
  </si>
  <si>
    <t>Ellátottak pénzbeli juttatásai</t>
  </si>
  <si>
    <t>Irányító szervi támogatás részletezése 2021. év eredeti és módosított Ft-ban</t>
  </si>
  <si>
    <t>2021. évi eredeti</t>
  </si>
  <si>
    <t>Szociális ágazati pótlék</t>
  </si>
  <si>
    <t>Egészségügyi kiegészítő pótlék</t>
  </si>
  <si>
    <t>Felmentési bér és jubileumi jutalom</t>
  </si>
  <si>
    <t>2020. évi beszámoló alapján járó támogatás</t>
  </si>
  <si>
    <t>2021.06.30-i állapot</t>
  </si>
  <si>
    <t>Változás 2021. eredetihez képest</t>
  </si>
  <si>
    <t>B8131</t>
  </si>
  <si>
    <t>2021. ÉVI KÖLTSÉGVETÉSI HATÁROZATÁNAK MÓDOSÍTÁSÁHOZ</t>
  </si>
  <si>
    <t xml:space="preserve">Felhalmozási kiadások  </t>
  </si>
  <si>
    <t>Irányító szervi támogatás részletezése 2021. év eredeti és módosított</t>
  </si>
  <si>
    <t>2021. év eredeti</t>
  </si>
  <si>
    <t>Jubileumi jutalom</t>
  </si>
  <si>
    <t xml:space="preserve">módosított </t>
  </si>
  <si>
    <t>Eredeti</t>
  </si>
  <si>
    <t>Módosított</t>
  </si>
  <si>
    <t>4. sz. melléklet</t>
  </si>
  <si>
    <t>2021. évi költségvetésének módosításáról szóló határozatához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</si>
</sst>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F_t_-;\-* #,##0.00\ _F_t_-;_-* &quot;-&quot;??\ _F_t_-;_-@_-"/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  <numFmt numFmtId="172" formatCode="_-* #,##0\ _F_t_-;\-* #,##0\ _F_t_-;_-* &quot;-&quot;??\ _F_t_-;_-@_-"/>
    <numFmt numFmtId="173" formatCode="#,##0.00\ &quot;Ft&quot;"/>
  </numFmts>
  <fonts count="42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0"/>
      <name val="Calibri"/>
      <family val="2"/>
      <charset val="238"/>
    </font>
    <font>
      <sz val="12"/>
      <color rgb="FFFF0000"/>
      <name val="Times New Roman"/>
      <family val="1"/>
      <charset val="238"/>
    </font>
    <font>
      <b/>
      <sz val="11"/>
      <color theme="0"/>
      <name val="Calibri"/>
      <family val="2"/>
      <charset val="238"/>
    </font>
    <font>
      <b/>
      <sz val="12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4">
    <xf numFmtId="0" fontId="0" fillId="0" borderId="0"/>
    <xf numFmtId="169" fontId="7" fillId="0" borderId="0" applyFont="0" applyFill="0" applyBorder="0" applyAlignment="0" applyProtection="0"/>
    <xf numFmtId="168" fontId="8" fillId="0" borderId="0" applyBorder="0" applyProtection="0"/>
    <xf numFmtId="164" fontId="8" fillId="0" borderId="0" applyBorder="0" applyProtection="0"/>
    <xf numFmtId="0" fontId="9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164" fontId="10" fillId="0" borderId="0" applyBorder="0" applyProtection="0"/>
    <xf numFmtId="164" fontId="10" fillId="0" borderId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170" fontId="11" fillId="0" borderId="0" applyBorder="0" applyProtection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33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7">
    <xf numFmtId="0" fontId="0" fillId="0" borderId="0" xfId="0"/>
    <xf numFmtId="164" fontId="8" fillId="0" borderId="0" xfId="3" applyFont="1" applyFill="1" applyAlignment="1"/>
    <xf numFmtId="164" fontId="12" fillId="0" borderId="0" xfId="3" applyFont="1" applyFill="1" applyAlignment="1"/>
    <xf numFmtId="164" fontId="12" fillId="0" borderId="0" xfId="3" applyFont="1" applyFill="1" applyAlignment="1">
      <alignment horizontal="center"/>
    </xf>
    <xf numFmtId="164" fontId="14" fillId="0" borderId="0" xfId="3" applyFont="1" applyFill="1" applyAlignment="1">
      <alignment horizontal="center"/>
    </xf>
    <xf numFmtId="164" fontId="13" fillId="0" borderId="1" xfId="3" applyFont="1" applyFill="1" applyBorder="1" applyAlignment="1">
      <alignment horizontal="center" vertical="top" wrapText="1"/>
    </xf>
    <xf numFmtId="164" fontId="13" fillId="0" borderId="2" xfId="3" applyFont="1" applyFill="1" applyBorder="1" applyAlignment="1">
      <alignment horizontal="center" vertical="top" wrapText="1"/>
    </xf>
    <xf numFmtId="164" fontId="15" fillId="0" borderId="3" xfId="3" applyFont="1" applyFill="1" applyBorder="1" applyAlignment="1">
      <alignment horizontal="center" vertical="top" wrapText="1"/>
    </xf>
    <xf numFmtId="164" fontId="15" fillId="0" borderId="4" xfId="3" applyFont="1" applyFill="1" applyBorder="1" applyAlignment="1">
      <alignment horizontal="justify" vertical="top" wrapText="1"/>
    </xf>
    <xf numFmtId="164" fontId="15" fillId="0" borderId="2" xfId="3" applyFont="1" applyFill="1" applyBorder="1" applyAlignment="1">
      <alignment horizontal="justify" vertical="top" wrapText="1"/>
    </xf>
    <xf numFmtId="164" fontId="15" fillId="0" borderId="5" xfId="3" applyFont="1" applyFill="1" applyBorder="1" applyAlignment="1">
      <alignment horizontal="center" vertical="top" wrapText="1"/>
    </xf>
    <xf numFmtId="164" fontId="15" fillId="0" borderId="0" xfId="3" applyFont="1" applyFill="1" applyAlignment="1">
      <alignment horizontal="justify"/>
    </xf>
    <xf numFmtId="164" fontId="16" fillId="0" borderId="0" xfId="3" applyFont="1" applyFill="1" applyAlignment="1">
      <alignment horizontal="center"/>
    </xf>
    <xf numFmtId="164" fontId="17" fillId="2" borderId="0" xfId="3" applyFont="1" applyFill="1" applyAlignment="1">
      <alignment horizontal="center" wrapText="1"/>
    </xf>
    <xf numFmtId="164" fontId="18" fillId="0" borderId="7" xfId="3" applyFont="1" applyFill="1" applyBorder="1" applyAlignment="1">
      <alignment horizontal="center"/>
    </xf>
    <xf numFmtId="164" fontId="12" fillId="0" borderId="7" xfId="3" applyFont="1" applyFill="1" applyBorder="1" applyAlignment="1">
      <alignment horizontal="center"/>
    </xf>
    <xf numFmtId="164" fontId="18" fillId="0" borderId="8" xfId="3" applyFont="1" applyFill="1" applyBorder="1" applyAlignment="1">
      <alignment horizontal="center"/>
    </xf>
    <xf numFmtId="164" fontId="18" fillId="0" borderId="8" xfId="3" applyFont="1" applyFill="1" applyBorder="1" applyAlignment="1">
      <alignment horizontal="center" wrapText="1"/>
    </xf>
    <xf numFmtId="164" fontId="12" fillId="0" borderId="9" xfId="3" applyFont="1" applyFill="1" applyBorder="1" applyAlignment="1">
      <alignment horizontal="center"/>
    </xf>
    <xf numFmtId="164" fontId="19" fillId="0" borderId="10" xfId="3" applyFont="1" applyFill="1" applyBorder="1" applyAlignment="1"/>
    <xf numFmtId="166" fontId="19" fillId="0" borderId="10" xfId="3" applyNumberFormat="1" applyFont="1" applyFill="1" applyBorder="1" applyAlignment="1"/>
    <xf numFmtId="164" fontId="8" fillId="0" borderId="10" xfId="3" applyFont="1" applyFill="1" applyBorder="1" applyAlignment="1"/>
    <xf numFmtId="164" fontId="8" fillId="0" borderId="10" xfId="3" applyFont="1" applyFill="1" applyBorder="1" applyAlignment="1">
      <alignment wrapText="1"/>
    </xf>
    <xf numFmtId="166" fontId="19" fillId="0" borderId="11" xfId="3" applyNumberFormat="1" applyFont="1" applyFill="1" applyBorder="1" applyAlignment="1"/>
    <xf numFmtId="164" fontId="18" fillId="3" borderId="10" xfId="3" applyFont="1" applyFill="1" applyBorder="1" applyAlignment="1"/>
    <xf numFmtId="166" fontId="18" fillId="3" borderId="10" xfId="3" applyNumberFormat="1" applyFont="1" applyFill="1" applyBorder="1" applyAlignment="1"/>
    <xf numFmtId="166" fontId="18" fillId="3" borderId="11" xfId="3" applyNumberFormat="1" applyFont="1" applyFill="1" applyBorder="1" applyAlignment="1"/>
    <xf numFmtId="166" fontId="19" fillId="4" borderId="10" xfId="3" applyNumberFormat="1" applyFont="1" applyFill="1" applyBorder="1" applyAlignment="1"/>
    <xf numFmtId="166" fontId="18" fillId="0" borderId="10" xfId="3" applyNumberFormat="1" applyFont="1" applyFill="1" applyBorder="1" applyAlignment="1"/>
    <xf numFmtId="166" fontId="18" fillId="0" borderId="11" xfId="3" applyNumberFormat="1" applyFont="1" applyFill="1" applyBorder="1" applyAlignment="1"/>
    <xf numFmtId="166" fontId="19" fillId="0" borderId="0" xfId="3" applyNumberFormat="1" applyFont="1" applyFill="1" applyAlignment="1"/>
    <xf numFmtId="164" fontId="20" fillId="0" borderId="10" xfId="3" applyFont="1" applyFill="1" applyBorder="1" applyAlignment="1"/>
    <xf numFmtId="164" fontId="19" fillId="0" borderId="0" xfId="3" applyFont="1" applyFill="1" applyAlignment="1"/>
    <xf numFmtId="164" fontId="18" fillId="0" borderId="10" xfId="3" applyFont="1" applyFill="1" applyBorder="1" applyAlignment="1"/>
    <xf numFmtId="164" fontId="18" fillId="0" borderId="0" xfId="3" applyFont="1" applyFill="1" applyAlignment="1"/>
    <xf numFmtId="166" fontId="18" fillId="0" borderId="0" xfId="3" applyNumberFormat="1" applyFont="1" applyFill="1" applyAlignment="1"/>
    <xf numFmtId="164" fontId="17" fillId="2" borderId="0" xfId="3" applyFont="1" applyFill="1" applyAlignment="1"/>
    <xf numFmtId="164" fontId="17" fillId="2" borderId="0" xfId="3" applyFont="1" applyFill="1" applyAlignment="1">
      <alignment wrapText="1"/>
    </xf>
    <xf numFmtId="164" fontId="18" fillId="0" borderId="12" xfId="3" applyFont="1" applyFill="1" applyBorder="1" applyAlignment="1">
      <alignment horizontal="center"/>
    </xf>
    <xf numFmtId="164" fontId="18" fillId="0" borderId="13" xfId="3" applyFont="1" applyFill="1" applyBorder="1" applyAlignment="1">
      <alignment horizontal="center" wrapText="1"/>
    </xf>
    <xf numFmtId="0" fontId="21" fillId="0" borderId="0" xfId="0" applyFont="1"/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12" fillId="0" borderId="0" xfId="1" applyNumberFormat="1" applyFont="1" applyFill="1" applyAlignment="1"/>
    <xf numFmtId="49" fontId="8" fillId="0" borderId="10" xfId="0" applyNumberFormat="1" applyFont="1" applyBorder="1" applyAlignment="1">
      <alignment wrapText="1"/>
    </xf>
    <xf numFmtId="164" fontId="16" fillId="0" borderId="0" xfId="3" applyFont="1" applyFill="1" applyAlignment="1">
      <alignment horizontal="center" wrapText="1"/>
    </xf>
    <xf numFmtId="164" fontId="8" fillId="0" borderId="0" xfId="3" applyFont="1" applyFill="1" applyAlignment="1">
      <alignment wrapText="1"/>
    </xf>
    <xf numFmtId="164" fontId="12" fillId="0" borderId="0" xfId="3" applyFont="1" applyFill="1" applyAlignment="1">
      <alignment wrapText="1"/>
    </xf>
    <xf numFmtId="165" fontId="22" fillId="0" borderId="10" xfId="2" applyNumberFormat="1" applyFont="1" applyFill="1" applyBorder="1" applyAlignment="1"/>
    <xf numFmtId="164" fontId="12" fillId="5" borderId="10" xfId="3" applyFont="1" applyFill="1" applyBorder="1" applyAlignment="1">
      <alignment wrapText="1"/>
    </xf>
    <xf numFmtId="165" fontId="12" fillId="5" borderId="10" xfId="2" applyNumberFormat="1" applyFont="1" applyFill="1" applyBorder="1" applyAlignment="1"/>
    <xf numFmtId="164" fontId="8" fillId="0" borderId="11" xfId="3" applyFont="1" applyFill="1" applyBorder="1" applyAlignment="1">
      <alignment wrapText="1"/>
    </xf>
    <xf numFmtId="165" fontId="23" fillId="0" borderId="10" xfId="2" applyNumberFormat="1" applyFont="1" applyFill="1" applyBorder="1" applyAlignment="1"/>
    <xf numFmtId="165" fontId="8" fillId="0" borderId="0" xfId="3" applyNumberFormat="1" applyFont="1" applyFill="1" applyAlignment="1"/>
    <xf numFmtId="164" fontId="12" fillId="5" borderId="0" xfId="3" applyFont="1" applyFill="1" applyAlignment="1">
      <alignment wrapText="1"/>
    </xf>
    <xf numFmtId="165" fontId="16" fillId="5" borderId="0" xfId="3" applyNumberFormat="1" applyFont="1" applyFill="1" applyAlignment="1"/>
    <xf numFmtId="165" fontId="12" fillId="0" borderId="0" xfId="2" applyNumberFormat="1" applyFont="1" applyFill="1" applyAlignment="1"/>
    <xf numFmtId="165" fontId="16" fillId="0" borderId="0" xfId="2" applyNumberFormat="1" applyFont="1" applyFill="1" applyAlignment="1"/>
    <xf numFmtId="164" fontId="8" fillId="0" borderId="10" xfId="3" applyFont="1" applyFill="1" applyBorder="1" applyAlignment="1">
      <alignment horizontal="center"/>
    </xf>
    <xf numFmtId="165" fontId="26" fillId="0" borderId="10" xfId="2" applyNumberFormat="1" applyFont="1" applyFill="1" applyBorder="1" applyAlignment="1"/>
    <xf numFmtId="164" fontId="12" fillId="5" borderId="10" xfId="3" applyFont="1" applyFill="1" applyBorder="1" applyAlignment="1"/>
    <xf numFmtId="165" fontId="24" fillId="5" borderId="10" xfId="3" applyNumberFormat="1" applyFont="1" applyFill="1" applyBorder="1" applyAlignment="1"/>
    <xf numFmtId="166" fontId="26" fillId="0" borderId="10" xfId="3" applyNumberFormat="1" applyFont="1" applyFill="1" applyBorder="1" applyAlignment="1"/>
    <xf numFmtId="166" fontId="8" fillId="0" borderId="0" xfId="3" applyNumberFormat="1" applyFont="1" applyFill="1" applyAlignment="1"/>
    <xf numFmtId="164" fontId="24" fillId="5" borderId="0" xfId="3" applyFont="1" applyFill="1" applyAlignment="1">
      <alignment wrapText="1"/>
    </xf>
    <xf numFmtId="164" fontId="24" fillId="5" borderId="0" xfId="3" applyFont="1" applyFill="1" applyAlignment="1"/>
    <xf numFmtId="166" fontId="24" fillId="5" borderId="0" xfId="3" applyNumberFormat="1" applyFont="1" applyFill="1" applyAlignment="1"/>
    <xf numFmtId="164" fontId="8" fillId="6" borderId="0" xfId="3" applyFont="1" applyFill="1" applyAlignment="1"/>
    <xf numFmtId="164" fontId="12" fillId="0" borderId="10" xfId="3" applyFont="1" applyFill="1" applyBorder="1" applyAlignment="1"/>
    <xf numFmtId="165" fontId="16" fillId="0" borderId="10" xfId="2" applyNumberFormat="1" applyFont="1" applyFill="1" applyBorder="1" applyAlignment="1"/>
    <xf numFmtId="164" fontId="12" fillId="5" borderId="0" xfId="3" applyFont="1" applyFill="1" applyAlignment="1"/>
    <xf numFmtId="165" fontId="16" fillId="5" borderId="0" xfId="2" applyNumberFormat="1" applyFont="1" applyFill="1" applyAlignment="1"/>
    <xf numFmtId="164" fontId="14" fillId="0" borderId="0" xfId="3" applyFont="1" applyFill="1" applyAlignment="1">
      <alignment horizontal="right"/>
    </xf>
    <xf numFmtId="164" fontId="14" fillId="0" borderId="0" xfId="3" applyFont="1" applyFill="1" applyAlignment="1"/>
    <xf numFmtId="164" fontId="14" fillId="0" borderId="0" xfId="3" applyFont="1" applyFill="1" applyAlignment="1">
      <alignment horizontal="justify"/>
    </xf>
    <xf numFmtId="164" fontId="27" fillId="0" borderId="0" xfId="3" applyFont="1" applyFill="1" applyAlignment="1"/>
    <xf numFmtId="164" fontId="14" fillId="0" borderId="14" xfId="3" applyFont="1" applyFill="1" applyBorder="1" applyAlignment="1">
      <alignment horizontal="center"/>
    </xf>
    <xf numFmtId="164" fontId="15" fillId="0" borderId="15" xfId="3" applyFont="1" applyFill="1" applyBorder="1" applyAlignment="1">
      <alignment horizontal="center" vertical="top" wrapText="1"/>
    </xf>
    <xf numFmtId="164" fontId="15" fillId="0" borderId="16" xfId="3" applyFont="1" applyFill="1" applyBorder="1" applyAlignment="1">
      <alignment horizontal="center" vertical="top" wrapText="1"/>
    </xf>
    <xf numFmtId="164" fontId="15" fillId="0" borderId="17" xfId="3" applyFont="1" applyFill="1" applyBorder="1" applyAlignment="1">
      <alignment horizontal="center" vertical="top" wrapText="1"/>
    </xf>
    <xf numFmtId="164" fontId="15" fillId="0" borderId="18" xfId="3" applyFont="1" applyFill="1" applyBorder="1" applyAlignment="1">
      <alignment horizontal="center" vertical="top" wrapText="1"/>
    </xf>
    <xf numFmtId="164" fontId="15" fillId="0" borderId="10" xfId="3" applyFont="1" applyFill="1" applyBorder="1" applyAlignment="1">
      <alignment horizontal="center" vertical="top" wrapText="1"/>
    </xf>
    <xf numFmtId="164" fontId="8" fillId="0" borderId="3" xfId="3" applyFont="1" applyFill="1" applyBorder="1" applyAlignment="1">
      <alignment vertical="top" wrapText="1"/>
    </xf>
    <xf numFmtId="164" fontId="15" fillId="0" borderId="19" xfId="3" applyFont="1" applyFill="1" applyBorder="1" applyAlignment="1">
      <alignment horizontal="center" vertical="top" wrapText="1"/>
    </xf>
    <xf numFmtId="164" fontId="14" fillId="5" borderId="5" xfId="3" applyFont="1" applyFill="1" applyBorder="1" applyAlignment="1">
      <alignment vertical="top" wrapText="1"/>
    </xf>
    <xf numFmtId="164" fontId="28" fillId="5" borderId="18" xfId="3" applyFont="1" applyFill="1" applyBorder="1" applyAlignment="1">
      <alignment horizontal="right" vertical="top" wrapText="1"/>
    </xf>
    <xf numFmtId="164" fontId="28" fillId="5" borderId="10" xfId="3" applyFont="1" applyFill="1" applyBorder="1" applyAlignment="1">
      <alignment horizontal="right" vertical="top" wrapText="1"/>
    </xf>
    <xf numFmtId="164" fontId="15" fillId="0" borderId="5" xfId="3" applyFont="1" applyFill="1" applyBorder="1" applyAlignment="1">
      <alignment vertical="top" wrapText="1"/>
    </xf>
    <xf numFmtId="164" fontId="29" fillId="0" borderId="18" xfId="3" applyFont="1" applyFill="1" applyBorder="1" applyAlignment="1">
      <alignment horizontal="right" vertical="top" wrapText="1"/>
    </xf>
    <xf numFmtId="164" fontId="29" fillId="0" borderId="10" xfId="3" applyFont="1" applyFill="1" applyBorder="1" applyAlignment="1">
      <alignment horizontal="right" vertical="top" wrapText="1"/>
    </xf>
    <xf numFmtId="164" fontId="28" fillId="5" borderId="7" xfId="3" applyFont="1" applyFill="1" applyBorder="1" applyAlignment="1">
      <alignment horizontal="right" vertical="top" wrapText="1"/>
    </xf>
    <xf numFmtId="49" fontId="0" fillId="0" borderId="0" xfId="0" applyNumberFormat="1" applyAlignment="1">
      <alignment wrapText="1"/>
    </xf>
    <xf numFmtId="3" fontId="8" fillId="0" borderId="0" xfId="0" applyNumberFormat="1" applyFont="1"/>
    <xf numFmtId="164" fontId="12" fillId="0" borderId="0" xfId="3" applyFont="1" applyFill="1" applyAlignment="1">
      <alignment horizontal="center"/>
    </xf>
    <xf numFmtId="0" fontId="0" fillId="0" borderId="0" xfId="0"/>
    <xf numFmtId="164" fontId="8" fillId="0" borderId="20" xfId="3" applyFont="1" applyFill="1" applyBorder="1" applyAlignment="1"/>
    <xf numFmtId="167" fontId="8" fillId="0" borderId="20" xfId="1" applyNumberFormat="1" applyFont="1" applyFill="1" applyBorder="1" applyAlignment="1">
      <alignment horizontal="right"/>
    </xf>
    <xf numFmtId="164" fontId="8" fillId="0" borderId="7" xfId="3" applyFont="1" applyFill="1" applyBorder="1" applyAlignment="1"/>
    <xf numFmtId="0" fontId="21" fillId="0" borderId="0" xfId="0" applyFont="1" applyAlignment="1">
      <alignment wrapText="1"/>
    </xf>
    <xf numFmtId="165" fontId="16" fillId="0" borderId="0" xfId="3" applyNumberFormat="1" applyFont="1" applyFill="1" applyAlignment="1"/>
    <xf numFmtId="0" fontId="0" fillId="0" borderId="0" xfId="0" applyFill="1"/>
    <xf numFmtId="164" fontId="8" fillId="0" borderId="7" xfId="3" applyFont="1" applyFill="1" applyBorder="1" applyAlignment="1">
      <alignment wrapText="1"/>
    </xf>
    <xf numFmtId="166" fontId="26" fillId="0" borderId="7" xfId="3" applyNumberFormat="1" applyFont="1" applyFill="1" applyBorder="1" applyAlignment="1"/>
    <xf numFmtId="164" fontId="8" fillId="0" borderId="20" xfId="3" applyFont="1" applyFill="1" applyBorder="1" applyAlignment="1">
      <alignment wrapText="1"/>
    </xf>
    <xf numFmtId="166" fontId="26" fillId="0" borderId="20" xfId="3" applyNumberFormat="1" applyFont="1" applyFill="1" applyBorder="1" applyAlignment="1"/>
    <xf numFmtId="164" fontId="15" fillId="0" borderId="0" xfId="3" applyFont="1" applyFill="1" applyAlignme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Fill="1"/>
    <xf numFmtId="0" fontId="14" fillId="0" borderId="0" xfId="0" applyFont="1" applyAlignment="1">
      <alignment wrapText="1"/>
    </xf>
    <xf numFmtId="0" fontId="30" fillId="0" borderId="22" xfId="0" applyFont="1" applyBorder="1"/>
    <xf numFmtId="0" fontId="30" fillId="0" borderId="20" xfId="0" applyFont="1" applyBorder="1"/>
    <xf numFmtId="3" fontId="30" fillId="0" borderId="20" xfId="0" applyNumberFormat="1" applyFont="1" applyBorder="1" applyAlignment="1">
      <alignment horizontal="right"/>
    </xf>
    <xf numFmtId="3" fontId="30" fillId="0" borderId="20" xfId="0" applyNumberFormat="1" applyFont="1" applyBorder="1"/>
    <xf numFmtId="0" fontId="30" fillId="0" borderId="24" xfId="0" applyFont="1" applyBorder="1"/>
    <xf numFmtId="0" fontId="30" fillId="0" borderId="21" xfId="0" applyFont="1" applyBorder="1"/>
    <xf numFmtId="3" fontId="30" fillId="0" borderId="21" xfId="0" applyNumberFormat="1" applyFont="1" applyBorder="1"/>
    <xf numFmtId="0" fontId="30" fillId="0" borderId="20" xfId="0" applyFont="1" applyBorder="1" applyAlignment="1">
      <alignment horizontal="right"/>
    </xf>
    <xf numFmtId="0" fontId="30" fillId="0" borderId="0" xfId="0" applyFont="1" applyBorder="1"/>
    <xf numFmtId="3" fontId="31" fillId="0" borderId="0" xfId="0" applyNumberFormat="1" applyFont="1" applyBorder="1"/>
    <xf numFmtId="0" fontId="30" fillId="0" borderId="26" xfId="0" applyFont="1" applyBorder="1"/>
    <xf numFmtId="0" fontId="31" fillId="0" borderId="26" xfId="0" applyFont="1" applyBorder="1"/>
    <xf numFmtId="0" fontId="31" fillId="0" borderId="0" xfId="0" applyFont="1" applyBorder="1"/>
    <xf numFmtId="164" fontId="14" fillId="0" borderId="0" xfId="3" applyFont="1" applyFill="1" applyBorder="1" applyAlignment="1">
      <alignment horizontal="center"/>
    </xf>
    <xf numFmtId="164" fontId="12" fillId="0" borderId="0" xfId="3" applyFont="1" applyFill="1" applyAlignment="1">
      <alignment horizontal="center"/>
    </xf>
    <xf numFmtId="0" fontId="0" fillId="0" borderId="0" xfId="0"/>
    <xf numFmtId="164" fontId="16" fillId="0" borderId="0" xfId="3" applyFont="1" applyFill="1" applyAlignment="1">
      <alignment horizontal="center"/>
    </xf>
    <xf numFmtId="164" fontId="12" fillId="0" borderId="0" xfId="3" applyFont="1" applyFill="1" applyAlignment="1">
      <alignment horizontal="center"/>
    </xf>
    <xf numFmtId="0" fontId="0" fillId="0" borderId="0" xfId="0"/>
    <xf numFmtId="164" fontId="16" fillId="0" borderId="0" xfId="3" applyFont="1" applyFill="1" applyAlignment="1">
      <alignment horizontal="center"/>
    </xf>
    <xf numFmtId="0" fontId="0" fillId="0" borderId="0" xfId="0"/>
    <xf numFmtId="164" fontId="17" fillId="2" borderId="0" xfId="3" applyFont="1" applyFill="1" applyBorder="1" applyAlignment="1">
      <alignment horizontal="center" wrapText="1"/>
    </xf>
    <xf numFmtId="164" fontId="8" fillId="0" borderId="12" xfId="3" applyFont="1" applyFill="1" applyBorder="1" applyAlignment="1">
      <alignment wrapText="1"/>
    </xf>
    <xf numFmtId="2" fontId="30" fillId="0" borderId="20" xfId="0" applyNumberFormat="1" applyFont="1" applyBorder="1"/>
    <xf numFmtId="0" fontId="0" fillId="0" borderId="0" xfId="0"/>
    <xf numFmtId="164" fontId="12" fillId="7" borderId="10" xfId="3" applyFont="1" applyFill="1" applyBorder="1" applyAlignment="1">
      <alignment vertical="top" wrapText="1"/>
    </xf>
    <xf numFmtId="0" fontId="0" fillId="0" borderId="0" xfId="0"/>
    <xf numFmtId="167" fontId="8" fillId="0" borderId="0" xfId="1" applyNumberFormat="1" applyFont="1" applyFill="1" applyAlignment="1"/>
    <xf numFmtId="9" fontId="8" fillId="0" borderId="0" xfId="12" applyFont="1" applyFill="1" applyAlignment="1"/>
    <xf numFmtId="164" fontId="19" fillId="0" borderId="10" xfId="3" applyFont="1" applyFill="1" applyBorder="1" applyAlignment="1">
      <alignment wrapText="1"/>
    </xf>
    <xf numFmtId="164" fontId="28" fillId="5" borderId="28" xfId="3" applyFont="1" applyFill="1" applyBorder="1" applyAlignment="1">
      <alignment horizontal="right" vertical="top" wrapText="1"/>
    </xf>
    <xf numFmtId="164" fontId="28" fillId="5" borderId="20" xfId="3" applyFont="1" applyFill="1" applyBorder="1" applyAlignment="1">
      <alignment horizontal="right" vertical="top" wrapText="1"/>
    </xf>
    <xf numFmtId="164" fontId="29" fillId="8" borderId="20" xfId="3" applyFont="1" applyFill="1" applyBorder="1" applyAlignment="1">
      <alignment horizontal="right" vertical="top" wrapText="1"/>
    </xf>
    <xf numFmtId="164" fontId="12" fillId="0" borderId="20" xfId="3" applyFont="1" applyFill="1" applyBorder="1" applyAlignment="1"/>
    <xf numFmtId="164" fontId="12" fillId="0" borderId="20" xfId="3" applyFont="1" applyFill="1" applyBorder="1" applyAlignment="1">
      <alignment wrapText="1"/>
    </xf>
    <xf numFmtId="0" fontId="0" fillId="0" borderId="0" xfId="0"/>
    <xf numFmtId="171" fontId="8" fillId="0" borderId="20" xfId="1" applyNumberFormat="1" applyFont="1" applyFill="1" applyBorder="1" applyAlignment="1">
      <alignment horizontal="right"/>
    </xf>
    <xf numFmtId="0" fontId="0" fillId="0" borderId="0" xfId="0"/>
    <xf numFmtId="0" fontId="0" fillId="0" borderId="0" xfId="0" applyAlignment="1"/>
    <xf numFmtId="164" fontId="32" fillId="0" borderId="0" xfId="3" applyFont="1" applyFill="1" applyAlignment="1"/>
    <xf numFmtId="0" fontId="32" fillId="0" borderId="0" xfId="0" applyFont="1" applyAlignment="1"/>
    <xf numFmtId="0" fontId="0" fillId="0" borderId="0" xfId="0"/>
    <xf numFmtId="164" fontId="29" fillId="0" borderId="0" xfId="3" applyFont="1" applyFill="1" applyBorder="1" applyAlignment="1">
      <alignment horizontal="right" vertical="top" wrapText="1"/>
    </xf>
    <xf numFmtId="0" fontId="30" fillId="0" borderId="2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171" fontId="8" fillId="0" borderId="0" xfId="3" applyNumberFormat="1" applyFont="1" applyFill="1" applyAlignment="1"/>
    <xf numFmtId="3" fontId="34" fillId="0" borderId="20" xfId="15" applyNumberFormat="1" applyFont="1" applyBorder="1"/>
    <xf numFmtId="3" fontId="34" fillId="0" borderId="20" xfId="15" applyNumberFormat="1" applyFont="1" applyFill="1" applyBorder="1"/>
    <xf numFmtId="0" fontId="0" fillId="0" borderId="0" xfId="0"/>
    <xf numFmtId="0" fontId="0" fillId="0" borderId="0" xfId="0"/>
    <xf numFmtId="164" fontId="8" fillId="0" borderId="0" xfId="3" quotePrefix="1" applyFont="1" applyFill="1" applyAlignment="1"/>
    <xf numFmtId="164" fontId="35" fillId="0" borderId="0" xfId="3" applyFont="1" applyFill="1" applyAlignment="1"/>
    <xf numFmtId="165" fontId="36" fillId="0" borderId="0" xfId="3" applyNumberFormat="1" applyFont="1" applyFill="1" applyAlignment="1"/>
    <xf numFmtId="164" fontId="37" fillId="0" borderId="0" xfId="3" applyFont="1" applyFill="1" applyAlignment="1"/>
    <xf numFmtId="0" fontId="30" fillId="0" borderId="26" xfId="0" applyFont="1" applyBorder="1" applyAlignment="1">
      <alignment wrapText="1"/>
    </xf>
    <xf numFmtId="2" fontId="30" fillId="0" borderId="20" xfId="0" applyNumberFormat="1" applyFont="1" applyBorder="1" applyAlignment="1">
      <alignment horizontal="right"/>
    </xf>
    <xf numFmtId="2" fontId="30" fillId="0" borderId="21" xfId="0" applyNumberFormat="1" applyFont="1" applyBorder="1"/>
    <xf numFmtId="9" fontId="37" fillId="0" borderId="0" xfId="12" applyFont="1" applyFill="1" applyAlignment="1"/>
    <xf numFmtId="0" fontId="0" fillId="0" borderId="0" xfId="0"/>
    <xf numFmtId="165" fontId="26" fillId="0" borderId="11" xfId="2" applyNumberFormat="1" applyFont="1" applyFill="1" applyBorder="1" applyAlignment="1"/>
    <xf numFmtId="164" fontId="12" fillId="0" borderId="0" xfId="3" applyFont="1" applyFill="1" applyAlignment="1">
      <alignment horizontal="center" wrapText="1"/>
    </xf>
    <xf numFmtId="0" fontId="0" fillId="0" borderId="0" xfId="0"/>
    <xf numFmtId="169" fontId="35" fillId="0" borderId="0" xfId="1" applyFont="1" applyFill="1" applyAlignment="1"/>
    <xf numFmtId="10" fontId="37" fillId="0" borderId="0" xfId="12" applyNumberFormat="1" applyFont="1" applyFill="1" applyAlignment="1"/>
    <xf numFmtId="164" fontId="39" fillId="0" borderId="0" xfId="3" applyFont="1" applyFill="1" applyAlignment="1"/>
    <xf numFmtId="0" fontId="0" fillId="0" borderId="0" xfId="0"/>
    <xf numFmtId="165" fontId="26" fillId="0" borderId="7" xfId="2" applyNumberFormat="1" applyFont="1" applyFill="1" applyBorder="1" applyAlignment="1"/>
    <xf numFmtId="165" fontId="26" fillId="0" borderId="32" xfId="2" applyNumberFormat="1" applyFont="1" applyFill="1" applyBorder="1" applyAlignment="1"/>
    <xf numFmtId="165" fontId="26" fillId="0" borderId="20" xfId="2" applyNumberFormat="1" applyFont="1" applyFill="1" applyBorder="1" applyAlignment="1"/>
    <xf numFmtId="169" fontId="8" fillId="0" borderId="0" xfId="1" applyFont="1" applyFill="1" applyAlignment="1"/>
    <xf numFmtId="164" fontId="15" fillId="0" borderId="5" xfId="3" applyFont="1" applyFill="1" applyBorder="1" applyAlignment="1">
      <alignment horizontal="left" vertical="top" wrapText="1"/>
    </xf>
    <xf numFmtId="164" fontId="14" fillId="5" borderId="5" xfId="3" applyFont="1" applyFill="1" applyBorder="1" applyAlignment="1">
      <alignment horizontal="left" vertical="top" wrapText="1"/>
    </xf>
    <xf numFmtId="0" fontId="30" fillId="0" borderId="21" xfId="0" applyFont="1" applyBorder="1" applyAlignment="1">
      <alignment wrapText="1"/>
    </xf>
    <xf numFmtId="171" fontId="30" fillId="0" borderId="23" xfId="0" applyNumberFormat="1" applyFont="1" applyBorder="1"/>
    <xf numFmtId="171" fontId="30" fillId="0" borderId="25" xfId="0" applyNumberFormat="1" applyFont="1" applyBorder="1"/>
    <xf numFmtId="171" fontId="30" fillId="0" borderId="20" xfId="0" applyNumberFormat="1" applyFont="1" applyBorder="1"/>
    <xf numFmtId="171" fontId="14" fillId="0" borderId="0" xfId="1" applyNumberFormat="1" applyFont="1" applyFill="1" applyAlignment="1"/>
    <xf numFmtId="171" fontId="15" fillId="0" borderId="0" xfId="3" applyNumberFormat="1" applyFont="1" applyFill="1" applyAlignment="1"/>
    <xf numFmtId="171" fontId="14" fillId="0" borderId="0" xfId="3" applyNumberFormat="1" applyFont="1" applyFill="1" applyAlignment="1"/>
    <xf numFmtId="171" fontId="31" fillId="0" borderId="26" xfId="0" applyNumberFormat="1" applyFont="1" applyBorder="1"/>
    <xf numFmtId="171" fontId="31" fillId="0" borderId="0" xfId="0" applyNumberFormat="1" applyFont="1" applyBorder="1"/>
    <xf numFmtId="0" fontId="30" fillId="0" borderId="0" xfId="22" applyFont="1"/>
    <xf numFmtId="171" fontId="30" fillId="0" borderId="0" xfId="22" applyNumberFormat="1" applyFont="1"/>
    <xf numFmtId="173" fontId="30" fillId="0" borderId="0" xfId="22" applyNumberFormat="1" applyFont="1"/>
    <xf numFmtId="0" fontId="30" fillId="0" borderId="0" xfId="22" applyFont="1" applyAlignment="1">
      <alignment horizontal="center" vertical="center" wrapText="1"/>
    </xf>
    <xf numFmtId="0" fontId="30" fillId="0" borderId="0" xfId="22" applyFont="1" applyAlignment="1">
      <alignment horizontal="center" wrapText="1"/>
    </xf>
    <xf numFmtId="0" fontId="30" fillId="0" borderId="29" xfId="22" applyFont="1" applyBorder="1"/>
    <xf numFmtId="0" fontId="30" fillId="0" borderId="21" xfId="22" applyFont="1" applyBorder="1"/>
    <xf numFmtId="0" fontId="31" fillId="0" borderId="30" xfId="22" applyFont="1" applyBorder="1"/>
    <xf numFmtId="14" fontId="30" fillId="0" borderId="27" xfId="22" applyNumberFormat="1" applyFont="1" applyBorder="1"/>
    <xf numFmtId="0" fontId="31" fillId="0" borderId="20" xfId="22" applyFont="1" applyFill="1" applyBorder="1"/>
    <xf numFmtId="171" fontId="30" fillId="0" borderId="20" xfId="22" applyNumberFormat="1" applyFont="1" applyFill="1" applyBorder="1"/>
    <xf numFmtId="171" fontId="30" fillId="0" borderId="20" xfId="22" applyNumberFormat="1" applyFont="1" applyBorder="1"/>
    <xf numFmtId="3" fontId="30" fillId="0" borderId="0" xfId="22" applyNumberFormat="1" applyFont="1" applyBorder="1"/>
    <xf numFmtId="0" fontId="31" fillId="0" borderId="0" xfId="22" applyFont="1"/>
    <xf numFmtId="3" fontId="30" fillId="0" borderId="0" xfId="22" applyNumberFormat="1" applyFont="1"/>
    <xf numFmtId="3" fontId="31" fillId="0" borderId="0" xfId="22" applyNumberFormat="1" applyFont="1" applyFill="1"/>
    <xf numFmtId="3" fontId="30" fillId="0" borderId="0" xfId="22" applyNumberFormat="1" applyFont="1" applyFill="1"/>
    <xf numFmtId="172" fontId="30" fillId="0" borderId="0" xfId="23" applyNumberFormat="1" applyFont="1"/>
    <xf numFmtId="171" fontId="31" fillId="0" borderId="0" xfId="22" applyNumberFormat="1" applyFont="1" applyFill="1"/>
    <xf numFmtId="171" fontId="31" fillId="9" borderId="20" xfId="22" applyNumberFormat="1" applyFont="1" applyFill="1" applyBorder="1"/>
    <xf numFmtId="43" fontId="30" fillId="0" borderId="0" xfId="23" applyFont="1"/>
    <xf numFmtId="0" fontId="38" fillId="0" borderId="0" xfId="22" applyFont="1"/>
    <xf numFmtId="0" fontId="31" fillId="9" borderId="0" xfId="22" applyFont="1" applyFill="1"/>
    <xf numFmtId="171" fontId="31" fillId="9" borderId="0" xfId="22" applyNumberFormat="1" applyFont="1" applyFill="1"/>
    <xf numFmtId="0" fontId="30" fillId="0" borderId="0" xfId="22" applyFont="1" applyBorder="1"/>
    <xf numFmtId="171" fontId="30" fillId="0" borderId="0" xfId="22" applyNumberFormat="1" applyFont="1" applyBorder="1"/>
    <xf numFmtId="0" fontId="30" fillId="0" borderId="20" xfId="22" applyFont="1" applyBorder="1"/>
    <xf numFmtId="0" fontId="30" fillId="0" borderId="20" xfId="22" applyFont="1" applyFill="1" applyBorder="1"/>
    <xf numFmtId="0" fontId="31" fillId="0" borderId="20" xfId="22" applyFont="1" applyBorder="1"/>
    <xf numFmtId="14" fontId="30" fillId="0" borderId="20" xfId="22" applyNumberFormat="1" applyFont="1" applyBorder="1"/>
    <xf numFmtId="0" fontId="31" fillId="0" borderId="20" xfId="22" applyFont="1" applyFill="1" applyBorder="1" applyAlignment="1">
      <alignment horizontal="center" wrapText="1"/>
    </xf>
    <xf numFmtId="171" fontId="31" fillId="0" borderId="20" xfId="22" applyNumberFormat="1" applyFont="1" applyFill="1" applyBorder="1"/>
    <xf numFmtId="0" fontId="31" fillId="0" borderId="0" xfId="22" applyFont="1" applyBorder="1"/>
    <xf numFmtId="14" fontId="30" fillId="0" borderId="0" xfId="22" applyNumberFormat="1" applyFont="1" applyBorder="1"/>
    <xf numFmtId="0" fontId="31" fillId="0" borderId="0" xfId="22" applyFont="1" applyFill="1" applyBorder="1"/>
    <xf numFmtId="3" fontId="34" fillId="0" borderId="0" xfId="15" applyNumberFormat="1" applyFont="1" applyBorder="1"/>
    <xf numFmtId="3" fontId="34" fillId="0" borderId="0" xfId="15" applyNumberFormat="1" applyFont="1" applyFill="1" applyBorder="1"/>
    <xf numFmtId="171" fontId="40" fillId="0" borderId="0" xfId="22" applyNumberFormat="1" applyFont="1"/>
    <xf numFmtId="9" fontId="30" fillId="0" borderId="0" xfId="12" applyFont="1"/>
    <xf numFmtId="0" fontId="0" fillId="0" borderId="0" xfId="0"/>
    <xf numFmtId="164" fontId="8" fillId="0" borderId="0" xfId="3" applyFont="1" applyFill="1" applyAlignment="1">
      <alignment horizontal="center"/>
    </xf>
    <xf numFmtId="0" fontId="0" fillId="0" borderId="0" xfId="0"/>
    <xf numFmtId="1" fontId="35" fillId="0" borderId="0" xfId="3" applyNumberFormat="1" applyFont="1" applyFill="1" applyAlignment="1"/>
    <xf numFmtId="164" fontId="12" fillId="0" borderId="0" xfId="3" applyFont="1" applyFill="1" applyAlignment="1">
      <alignment horizontal="center"/>
    </xf>
    <xf numFmtId="164" fontId="16" fillId="0" borderId="0" xfId="3" applyFont="1" applyFill="1" applyAlignment="1">
      <alignment horizontal="center"/>
    </xf>
    <xf numFmtId="167" fontId="8" fillId="0" borderId="21" xfId="1" applyNumberFormat="1" applyFont="1" applyFill="1" applyBorder="1" applyAlignment="1">
      <alignment horizontal="right"/>
    </xf>
    <xf numFmtId="167" fontId="8" fillId="0" borderId="27" xfId="1" applyNumberFormat="1" applyFont="1" applyFill="1" applyBorder="1" applyAlignment="1">
      <alignment horizontal="right"/>
    </xf>
    <xf numFmtId="0" fontId="0" fillId="0" borderId="0" xfId="0"/>
    <xf numFmtId="164" fontId="17" fillId="2" borderId="0" xfId="3" applyFont="1" applyFill="1" applyBorder="1" applyAlignment="1">
      <alignment horizontal="left" wrapText="1"/>
    </xf>
    <xf numFmtId="166" fontId="19" fillId="0" borderId="11" xfId="3" applyNumberFormat="1" applyFont="1" applyFill="1" applyBorder="1" applyAlignment="1">
      <alignment horizontal="center" vertical="center"/>
    </xf>
    <xf numFmtId="166" fontId="19" fillId="0" borderId="10" xfId="3" applyNumberFormat="1" applyFont="1" applyFill="1" applyBorder="1" applyAlignment="1">
      <alignment horizontal="center" vertical="center"/>
    </xf>
    <xf numFmtId="167" fontId="19" fillId="0" borderId="11" xfId="1" applyNumberFormat="1" applyFont="1" applyFill="1" applyBorder="1" applyAlignment="1"/>
    <xf numFmtId="167" fontId="16" fillId="0" borderId="0" xfId="1" applyNumberFormat="1" applyFont="1" applyFill="1" applyAlignment="1">
      <alignment horizontal="center"/>
    </xf>
    <xf numFmtId="167" fontId="17" fillId="2" borderId="0" xfId="1" applyNumberFormat="1" applyFont="1" applyFill="1" applyAlignment="1">
      <alignment wrapText="1"/>
    </xf>
    <xf numFmtId="167" fontId="18" fillId="0" borderId="12" xfId="1" applyNumberFormat="1" applyFont="1" applyFill="1" applyBorder="1" applyAlignment="1">
      <alignment horizontal="center"/>
    </xf>
    <xf numFmtId="167" fontId="18" fillId="0" borderId="13" xfId="1" applyNumberFormat="1" applyFont="1" applyFill="1" applyBorder="1" applyAlignment="1">
      <alignment horizontal="center" wrapText="1"/>
    </xf>
    <xf numFmtId="167" fontId="18" fillId="3" borderId="10" xfId="1" applyNumberFormat="1" applyFont="1" applyFill="1" applyBorder="1" applyAlignment="1"/>
    <xf numFmtId="167" fontId="18" fillId="0" borderId="10" xfId="1" applyNumberFormat="1" applyFont="1" applyFill="1" applyBorder="1" applyAlignment="1"/>
    <xf numFmtId="167" fontId="19" fillId="0" borderId="0" xfId="1" applyNumberFormat="1" applyFont="1" applyFill="1" applyAlignment="1"/>
    <xf numFmtId="167" fontId="8" fillId="0" borderId="20" xfId="1" applyNumberFormat="1" applyFont="1" applyFill="1" applyBorder="1" applyAlignment="1"/>
    <xf numFmtId="167" fontId="8" fillId="0" borderId="21" xfId="1" applyNumberFormat="1" applyFont="1" applyFill="1" applyBorder="1" applyAlignment="1"/>
    <xf numFmtId="167" fontId="37" fillId="0" borderId="0" xfId="1" applyNumberFormat="1" applyFont="1" applyFill="1" applyAlignment="1"/>
    <xf numFmtId="167" fontId="19" fillId="0" borderId="10" xfId="1" applyNumberFormat="1" applyFont="1" applyFill="1" applyBorder="1" applyAlignment="1"/>
    <xf numFmtId="0" fontId="41" fillId="0" borderId="20" xfId="0" applyFont="1" applyBorder="1"/>
    <xf numFmtId="167" fontId="12" fillId="0" borderId="0" xfId="1" applyNumberFormat="1" applyFont="1" applyFill="1" applyAlignment="1">
      <alignment horizontal="center" vertical="center"/>
    </xf>
    <xf numFmtId="164" fontId="12" fillId="0" borderId="0" xfId="3" applyFont="1" applyFill="1" applyAlignment="1">
      <alignment horizontal="center" vertical="center" wrapText="1"/>
    </xf>
    <xf numFmtId="171" fontId="12" fillId="0" borderId="20" xfId="1" applyNumberFormat="1" applyFont="1" applyFill="1" applyBorder="1" applyAlignment="1">
      <alignment horizontal="right"/>
    </xf>
    <xf numFmtId="167" fontId="12" fillId="0" borderId="20" xfId="1" applyNumberFormat="1" applyFont="1" applyFill="1" applyBorder="1" applyAlignment="1"/>
    <xf numFmtId="167" fontId="35" fillId="0" borderId="0" xfId="1" applyNumberFormat="1" applyFont="1" applyFill="1" applyAlignment="1"/>
    <xf numFmtId="167" fontId="12" fillId="0" borderId="20" xfId="1" applyNumberFormat="1" applyFont="1" applyFill="1" applyBorder="1" applyAlignment="1">
      <alignment horizontal="right"/>
    </xf>
    <xf numFmtId="165" fontId="12" fillId="0" borderId="0" xfId="3" applyNumberFormat="1" applyFont="1" applyFill="1" applyAlignment="1">
      <alignment horizontal="left"/>
    </xf>
    <xf numFmtId="164" fontId="12" fillId="0" borderId="0" xfId="3" applyFont="1" applyFill="1" applyBorder="1" applyAlignment="1">
      <alignment wrapText="1"/>
    </xf>
    <xf numFmtId="165" fontId="12" fillId="0" borderId="0" xfId="2" applyNumberFormat="1" applyFont="1" applyFill="1" applyBorder="1" applyAlignment="1"/>
    <xf numFmtId="164" fontId="12" fillId="0" borderId="0" xfId="3" applyFont="1" applyFill="1" applyAlignment="1">
      <alignment horizontal="center"/>
    </xf>
    <xf numFmtId="164" fontId="13" fillId="0" borderId="0" xfId="3" applyFont="1" applyFill="1" applyAlignment="1">
      <alignment horizontal="center"/>
    </xf>
    <xf numFmtId="164" fontId="14" fillId="0" borderId="0" xfId="3" applyFont="1" applyFill="1" applyAlignment="1">
      <alignment horizontal="center"/>
    </xf>
    <xf numFmtId="164" fontId="17" fillId="2" borderId="6" xfId="3" applyFont="1" applyFill="1" applyBorder="1" applyAlignment="1">
      <alignment horizontal="center" wrapText="1"/>
    </xf>
    <xf numFmtId="164" fontId="16" fillId="0" borderId="0" xfId="3" applyFont="1" applyFill="1" applyAlignment="1">
      <alignment horizontal="center"/>
    </xf>
    <xf numFmtId="167" fontId="8" fillId="0" borderId="21" xfId="1" applyNumberFormat="1" applyFont="1" applyFill="1" applyBorder="1" applyAlignment="1">
      <alignment horizontal="right"/>
    </xf>
    <xf numFmtId="167" fontId="8" fillId="0" borderId="27" xfId="1" applyNumberFormat="1" applyFont="1" applyFill="1" applyBorder="1" applyAlignment="1">
      <alignment horizontal="right"/>
    </xf>
    <xf numFmtId="164" fontId="17" fillId="2" borderId="6" xfId="3" applyFont="1" applyFill="1" applyBorder="1" applyAlignment="1">
      <alignment horizontal="left" wrapText="1"/>
    </xf>
    <xf numFmtId="167" fontId="8" fillId="0" borderId="21" xfId="1" applyNumberFormat="1" applyFont="1" applyFill="1" applyBorder="1" applyAlignment="1">
      <alignment horizontal="center"/>
    </xf>
    <xf numFmtId="167" fontId="8" fillId="0" borderId="27" xfId="1" applyNumberFormat="1" applyFont="1" applyFill="1" applyBorder="1" applyAlignment="1">
      <alignment horizontal="center"/>
    </xf>
    <xf numFmtId="0" fontId="0" fillId="0" borderId="0" xfId="0"/>
    <xf numFmtId="171" fontId="26" fillId="0" borderId="21" xfId="3" applyNumberFormat="1" applyFont="1" applyFill="1" applyBorder="1" applyAlignment="1">
      <alignment horizontal="center" vertical="center"/>
    </xf>
    <xf numFmtId="171" fontId="26" fillId="0" borderId="31" xfId="3" applyNumberFormat="1" applyFont="1" applyFill="1" applyBorder="1" applyAlignment="1">
      <alignment horizontal="center" vertical="center"/>
    </xf>
    <xf numFmtId="171" fontId="26" fillId="0" borderId="27" xfId="3" applyNumberFormat="1" applyFont="1" applyFill="1" applyBorder="1" applyAlignment="1">
      <alignment horizontal="center" vertical="center"/>
    </xf>
    <xf numFmtId="164" fontId="12" fillId="0" borderId="21" xfId="3" applyFont="1" applyFill="1" applyBorder="1" applyAlignment="1">
      <alignment horizontal="center" vertical="center" textRotation="90" wrapText="1"/>
    </xf>
    <xf numFmtId="164" fontId="12" fillId="0" borderId="31" xfId="3" applyFont="1" applyFill="1" applyBorder="1" applyAlignment="1">
      <alignment horizontal="center" vertical="center" textRotation="90" wrapText="1"/>
    </xf>
    <xf numFmtId="164" fontId="12" fillId="0" borderId="27" xfId="3" applyFont="1" applyFill="1" applyBorder="1" applyAlignment="1">
      <alignment horizontal="center" vertical="center" textRotation="90" wrapText="1"/>
    </xf>
    <xf numFmtId="165" fontId="26" fillId="0" borderId="12" xfId="2" applyNumberFormat="1" applyFont="1" applyFill="1" applyBorder="1" applyAlignment="1">
      <alignment horizontal="center" vertical="center" wrapText="1"/>
    </xf>
    <xf numFmtId="165" fontId="26" fillId="0" borderId="32" xfId="2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164" fontId="8" fillId="0" borderId="0" xfId="3" applyFont="1" applyFill="1" applyAlignment="1">
      <alignment horizontal="center"/>
    </xf>
    <xf numFmtId="164" fontId="14" fillId="0" borderId="0" xfId="3" applyFont="1" applyFill="1" applyAlignment="1">
      <alignment horizontal="center" wrapText="1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30" fillId="0" borderId="20" xfId="22" applyFont="1" applyBorder="1" applyAlignment="1">
      <alignment horizontal="center" wrapText="1"/>
    </xf>
    <xf numFmtId="0" fontId="30" fillId="0" borderId="21" xfId="22" applyFont="1" applyBorder="1" applyAlignment="1">
      <alignment horizontal="center" wrapText="1"/>
    </xf>
    <xf numFmtId="0" fontId="30" fillId="0" borderId="27" xfId="22" applyFont="1" applyBorder="1" applyAlignment="1">
      <alignment horizontal="center" wrapText="1"/>
    </xf>
    <xf numFmtId="0" fontId="31" fillId="9" borderId="20" xfId="22" applyFont="1" applyFill="1" applyBorder="1" applyAlignment="1">
      <alignment horizontal="center" wrapText="1"/>
    </xf>
    <xf numFmtId="0" fontId="31" fillId="0" borderId="0" xfId="22" applyFont="1" applyAlignment="1">
      <alignment horizontal="right"/>
    </xf>
    <xf numFmtId="0" fontId="31" fillId="0" borderId="0" xfId="22" applyFont="1" applyAlignment="1">
      <alignment horizontal="center"/>
    </xf>
    <xf numFmtId="0" fontId="30" fillId="0" borderId="20" xfId="22" applyFont="1" applyFill="1" applyBorder="1" applyAlignment="1">
      <alignment horizontal="center" wrapText="1"/>
    </xf>
  </cellXfs>
  <cellStyles count="24">
    <cellStyle name="Excel Built-in Comma" xfId="2"/>
    <cellStyle name="Excel Built-in Normal" xfId="3"/>
    <cellStyle name="Ezres" xfId="1" builtinId="3" customBuiltin="1"/>
    <cellStyle name="Ezres 2" xfId="17"/>
    <cellStyle name="Ezres 2 2" xfId="21"/>
    <cellStyle name="Ezres 2 3" xfId="23"/>
    <cellStyle name="Ezres 3" xfId="19"/>
    <cellStyle name="Heading" xfId="4"/>
    <cellStyle name="Heading1" xfId="5"/>
    <cellStyle name="Normál" xfId="0" builtinId="0" customBuiltin="1"/>
    <cellStyle name="Normál 10" xfId="22"/>
    <cellStyle name="Normál 2" xfId="6"/>
    <cellStyle name="Normál 2 2" xfId="7"/>
    <cellStyle name="Normál 3" xfId="8"/>
    <cellStyle name="Normál 3 2" xfId="15"/>
    <cellStyle name="Normál 4" xfId="9"/>
    <cellStyle name="Normál 5" xfId="13"/>
    <cellStyle name="Normál 6" xfId="14"/>
    <cellStyle name="Normál 7" xfId="16"/>
    <cellStyle name="Normál 8" xfId="18"/>
    <cellStyle name="Normál 9" xfId="20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1\Tervez&#233;s\T&#225;rsul&#225;s\T&#233;rs&#233;gi%20T&#225;rsul&#225;s%202021.%20&#233;vi%20k&#246;lts&#233;gvet&#233;se%205.%20verzi&#24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&#233;gleges/T&#233;rs&#233;gi%20T&#225;rsul&#225;s%202021.%20&#233;vi%20k&#246;lts&#233;gvet&#233;s%206.%20verzi&#24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%20terv/tervez&#233;s/T&#225;rsul&#225;s/T&#233;rs&#233;gi/jav&#237;tott/T&#233;rs&#233;gi%20T&#225;rsul&#225;s%20k&#246;lts&#233;gvet&#233;se%202018%20jav&#237;tott%20M&#193;K%20163_87_2017%20levele%20alapj&#225;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tervez&#233;s%202021\M&#225;solat%20eredetije2020_ALL_GYO%20lakoss&#225;gsz&#225;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hasonlítás"/>
      <sheetName val="Társulás"/>
      <sheetName val="CSGYK 2020.12.15"/>
      <sheetName val="CSGYK bértervezet"/>
      <sheetName val="CSGYK Jub.jutalom és felm. bér"/>
      <sheetName val="Maradvány terhére beruházások"/>
      <sheetName val="Igénybevétel"/>
      <sheetName val="Engedélyezett létszám"/>
      <sheetName val="KESZI 2020.12.15"/>
      <sheetName val="KESZI bértervezet"/>
      <sheetName val="KESZI Jub.jutalom és felm. bér"/>
      <sheetName val="Maradvány terhére beruházás (2"/>
      <sheetName val="Igénybevétel (2)"/>
      <sheetName val="Engedélyezett létszám (2)"/>
      <sheetName val="2021 tagdíj"/>
      <sheetName val="Elnöknek"/>
      <sheetName val="2020 tagdíj"/>
    </sheetNames>
    <sheetDataSet>
      <sheetData sheetId="0"/>
      <sheetData sheetId="1">
        <row r="19">
          <cell r="G19">
            <v>500000</v>
          </cell>
        </row>
        <row r="24">
          <cell r="G24">
            <v>179950</v>
          </cell>
        </row>
        <row r="38">
          <cell r="G38">
            <v>3864370</v>
          </cell>
        </row>
        <row r="40">
          <cell r="G40">
            <v>1200000</v>
          </cell>
        </row>
        <row r="41">
          <cell r="G41">
            <v>3600000</v>
          </cell>
        </row>
        <row r="42">
          <cell r="G42">
            <v>17000</v>
          </cell>
        </row>
        <row r="43">
          <cell r="G43">
            <v>900000</v>
          </cell>
        </row>
        <row r="45">
          <cell r="G45">
            <v>1840000</v>
          </cell>
        </row>
        <row r="52">
          <cell r="G52">
            <v>1264725</v>
          </cell>
        </row>
        <row r="53">
          <cell r="G53">
            <v>14663840.73</v>
          </cell>
        </row>
        <row r="68">
          <cell r="G68">
            <v>9389000</v>
          </cell>
        </row>
        <row r="79">
          <cell r="G79">
            <v>17000</v>
          </cell>
        </row>
        <row r="80">
          <cell r="G80">
            <v>524268277</v>
          </cell>
        </row>
        <row r="81">
          <cell r="G81">
            <v>180705970</v>
          </cell>
        </row>
        <row r="82">
          <cell r="G82">
            <v>71143115</v>
          </cell>
        </row>
        <row r="83">
          <cell r="G83">
            <v>72862905</v>
          </cell>
        </row>
        <row r="84">
          <cell r="G84">
            <v>36699950</v>
          </cell>
        </row>
        <row r="85">
          <cell r="G85">
            <v>87764688</v>
          </cell>
        </row>
        <row r="86">
          <cell r="G86">
            <v>14014000</v>
          </cell>
        </row>
        <row r="87">
          <cell r="G87">
            <v>9995600</v>
          </cell>
        </row>
        <row r="88">
          <cell r="G88">
            <v>8178000</v>
          </cell>
        </row>
        <row r="89">
          <cell r="G89">
            <v>48158208</v>
          </cell>
        </row>
        <row r="90">
          <cell r="G90">
            <v>645120</v>
          </cell>
        </row>
        <row r="91">
          <cell r="G91">
            <v>3225600</v>
          </cell>
        </row>
        <row r="92">
          <cell r="G92">
            <v>322560</v>
          </cell>
        </row>
        <row r="93">
          <cell r="G93">
            <v>3225600</v>
          </cell>
        </row>
        <row r="94">
          <cell r="G94">
            <v>80402072</v>
          </cell>
        </row>
        <row r="117">
          <cell r="G117">
            <v>7843000</v>
          </cell>
        </row>
        <row r="118">
          <cell r="G118">
            <v>1800000</v>
          </cell>
        </row>
      </sheetData>
      <sheetData sheetId="2">
        <row r="24">
          <cell r="G24">
            <v>246985250</v>
          </cell>
        </row>
        <row r="89">
          <cell r="F89">
            <v>51900000</v>
          </cell>
        </row>
        <row r="91">
          <cell r="F91">
            <v>960000</v>
          </cell>
        </row>
        <row r="102">
          <cell r="G102">
            <v>265706741.79310346</v>
          </cell>
        </row>
      </sheetData>
      <sheetData sheetId="3"/>
      <sheetData sheetId="4"/>
      <sheetData sheetId="5"/>
      <sheetData sheetId="6"/>
      <sheetData sheetId="7"/>
      <sheetData sheetId="8">
        <row r="24">
          <cell r="G24">
            <v>552860250</v>
          </cell>
        </row>
        <row r="88">
          <cell r="G88">
            <v>76413910</v>
          </cell>
        </row>
        <row r="89">
          <cell r="G89">
            <v>70000000</v>
          </cell>
        </row>
        <row r="90">
          <cell r="G90">
            <v>1500000</v>
          </cell>
        </row>
        <row r="91">
          <cell r="G91">
            <v>3968910</v>
          </cell>
        </row>
        <row r="92">
          <cell r="G92">
            <v>945000</v>
          </cell>
        </row>
        <row r="109">
          <cell r="G109">
            <v>539166315.20689654</v>
          </cell>
        </row>
      </sheetData>
      <sheetData sheetId="9"/>
      <sheetData sheetId="10"/>
      <sheetData sheetId="11"/>
      <sheetData sheetId="12"/>
      <sheetData sheetId="13"/>
      <sheetData sheetId="14">
        <row r="28">
          <cell r="D28">
            <v>39449088</v>
          </cell>
          <cell r="F28">
            <v>3225600</v>
          </cell>
        </row>
        <row r="37">
          <cell r="D37">
            <v>96519160</v>
          </cell>
          <cell r="E37">
            <v>21308400</v>
          </cell>
          <cell r="F37">
            <v>7892000</v>
          </cell>
          <cell r="G37">
            <v>1578400</v>
          </cell>
        </row>
        <row r="70">
          <cell r="D70">
            <v>789200</v>
          </cell>
          <cell r="E70">
            <v>7892000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hasonlítás"/>
      <sheetName val="Társulás"/>
      <sheetName val="CSGYK 2020.12.15"/>
      <sheetName val="CSGYK bértervezet"/>
      <sheetName val="CSGYK Jub.jutalom és felm. bér"/>
      <sheetName val="Maradvány terhére beruházások"/>
      <sheetName val="Igénybevétel"/>
      <sheetName val="Engedélyezett létszám"/>
      <sheetName val="KESZI 2020.12.15"/>
      <sheetName val="KESZI bértervezet"/>
      <sheetName val="KESZI Jubileumi jut., felment.b"/>
      <sheetName val="KESZI Jub.jutalom és felm. bér"/>
      <sheetName val="Maradvány terhére beruházás (2"/>
      <sheetName val="Igénybevétel (2)"/>
      <sheetName val="Engedélyezett létszám (2)"/>
      <sheetName val="2021 tagdíj"/>
      <sheetName val="Elnöknek"/>
      <sheetName val="2020 tagdíj"/>
    </sheetNames>
    <sheetDataSet>
      <sheetData sheetId="0" refreshError="1"/>
      <sheetData sheetId="1">
        <row r="47">
          <cell r="G47">
            <v>218143651.75</v>
          </cell>
        </row>
        <row r="69">
          <cell r="G69">
            <v>807791594</v>
          </cell>
        </row>
        <row r="102">
          <cell r="G102">
            <v>164624559</v>
          </cell>
        </row>
      </sheetData>
      <sheetData sheetId="2">
        <row r="100">
          <cell r="G100">
            <v>5516883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07">
          <cell r="G107">
            <v>45776182</v>
          </cell>
        </row>
        <row r="109">
          <cell r="G109">
            <v>541272289.20689654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 refreshError="1">
        <row r="16">
          <cell r="H16">
            <v>4028078</v>
          </cell>
        </row>
        <row r="81">
          <cell r="H8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_ALL_GYO_ÖSSZ"/>
      <sheetName val="2020_ALL_GYO_FFI"/>
      <sheetName val="2020_ALL_GYO_NŐK"/>
    </sheetNames>
    <sheetDataSet>
      <sheetData sheetId="0">
        <row r="9">
          <cell r="F9">
            <v>6065</v>
          </cell>
        </row>
        <row r="11">
          <cell r="F11">
            <v>3311</v>
          </cell>
        </row>
        <row r="12">
          <cell r="F12">
            <v>32256</v>
          </cell>
        </row>
        <row r="16">
          <cell r="F16">
            <v>3704</v>
          </cell>
        </row>
        <row r="24">
          <cell r="F24">
            <v>2062</v>
          </cell>
        </row>
        <row r="31">
          <cell r="F31">
            <v>1435</v>
          </cell>
        </row>
        <row r="43">
          <cell r="F43">
            <v>1606</v>
          </cell>
        </row>
        <row r="46">
          <cell r="F46">
            <v>2015</v>
          </cell>
        </row>
        <row r="47">
          <cell r="F47">
            <v>248</v>
          </cell>
        </row>
        <row r="50">
          <cell r="F50">
            <v>1721</v>
          </cell>
        </row>
        <row r="59">
          <cell r="F59">
            <v>632</v>
          </cell>
        </row>
        <row r="80">
          <cell r="F80">
            <v>3213</v>
          </cell>
        </row>
        <row r="82">
          <cell r="F82">
            <v>1285</v>
          </cell>
        </row>
        <row r="91">
          <cell r="F91">
            <v>568</v>
          </cell>
        </row>
        <row r="92">
          <cell r="F92">
            <v>2312</v>
          </cell>
        </row>
        <row r="95">
          <cell r="F95">
            <v>369</v>
          </cell>
        </row>
        <row r="102">
          <cell r="F102">
            <v>2070</v>
          </cell>
        </row>
        <row r="103">
          <cell r="F103">
            <v>782</v>
          </cell>
        </row>
        <row r="107">
          <cell r="F107">
            <v>2049</v>
          </cell>
        </row>
        <row r="109">
          <cell r="F109">
            <v>640</v>
          </cell>
        </row>
        <row r="114">
          <cell r="F114">
            <v>2541</v>
          </cell>
        </row>
        <row r="115">
          <cell r="F115">
            <v>1825</v>
          </cell>
        </row>
        <row r="116">
          <cell r="F116">
            <v>443</v>
          </cell>
        </row>
        <row r="134">
          <cell r="F134">
            <v>642</v>
          </cell>
        </row>
        <row r="146">
          <cell r="F146">
            <v>3868</v>
          </cell>
        </row>
        <row r="172">
          <cell r="F172">
            <v>862</v>
          </cell>
        </row>
        <row r="177">
          <cell r="F177">
            <v>396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4"/>
  <sheetViews>
    <sheetView workbookViewId="0">
      <selection activeCell="A5" sqref="A5:B6"/>
    </sheetView>
  </sheetViews>
  <sheetFormatPr defaultRowHeight="14.4" x14ac:dyDescent="0.3"/>
  <cols>
    <col min="1" max="1" width="38.3984375" style="1" customWidth="1"/>
    <col min="2" max="2" width="39.5" style="1" customWidth="1"/>
    <col min="3" max="1024" width="8.69921875" style="1" customWidth="1"/>
    <col min="1025" max="1025" width="9" customWidth="1"/>
  </cols>
  <sheetData>
    <row r="1" spans="1:1024" x14ac:dyDescent="0.3">
      <c r="B1" s="2" t="s">
        <v>320</v>
      </c>
    </row>
    <row r="2" spans="1:1024" x14ac:dyDescent="0.3">
      <c r="B2" s="2"/>
    </row>
    <row r="3" spans="1:1024" x14ac:dyDescent="0.3">
      <c r="B3" s="2"/>
    </row>
    <row r="4" spans="1:1024" x14ac:dyDescent="0.3">
      <c r="B4" s="2"/>
    </row>
    <row r="5" spans="1:1024" x14ac:dyDescent="0.3">
      <c r="A5" s="2"/>
      <c r="C5" s="2"/>
    </row>
    <row r="6" spans="1:1024" x14ac:dyDescent="0.3">
      <c r="A6" s="2"/>
    </row>
    <row r="9" spans="1:1024" x14ac:dyDescent="0.3">
      <c r="A9" s="265" t="s">
        <v>1</v>
      </c>
      <c r="B9" s="265"/>
    </row>
    <row r="10" spans="1:1024" x14ac:dyDescent="0.3">
      <c r="A10" s="265" t="s">
        <v>340</v>
      </c>
      <c r="B10" s="265"/>
    </row>
    <row r="11" spans="1:1024" x14ac:dyDescent="0.3">
      <c r="A11" s="265" t="s">
        <v>341</v>
      </c>
      <c r="B11" s="265"/>
    </row>
    <row r="12" spans="1:1024" x14ac:dyDescent="0.3">
      <c r="A12" s="93"/>
      <c r="B12" s="93"/>
    </row>
    <row r="13" spans="1:1024" s="233" customFormat="1" ht="16.2" x14ac:dyDescent="0.35">
      <c r="A13" s="266" t="s">
        <v>2</v>
      </c>
      <c r="B13" s="26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4" customFormat="1" ht="15.6" x14ac:dyDescent="0.3">
      <c r="A14" s="267" t="s">
        <v>3</v>
      </c>
      <c r="B14" s="26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ht="15.6" x14ac:dyDescent="0.3">
      <c r="A15" s="4"/>
      <c r="B15" s="4"/>
    </row>
    <row r="16" spans="1:1024" ht="15.6" x14ac:dyDescent="0.3">
      <c r="A16" s="4"/>
      <c r="B16" s="4"/>
    </row>
    <row r="17" spans="1:2" ht="15.6" x14ac:dyDescent="0.3">
      <c r="A17" s="4"/>
    </row>
    <row r="18" spans="1:2" ht="16.2" thickBot="1" x14ac:dyDescent="0.35">
      <c r="A18" s="4"/>
    </row>
    <row r="19" spans="1:2" ht="17.399999999999999" thickTop="1" thickBot="1" x14ac:dyDescent="0.35">
      <c r="A19" s="5" t="s">
        <v>4</v>
      </c>
      <c r="B19" s="6" t="s">
        <v>5</v>
      </c>
    </row>
    <row r="20" spans="1:2" ht="16.8" thickTop="1" thickBot="1" x14ac:dyDescent="0.35">
      <c r="A20" s="7" t="s">
        <v>6</v>
      </c>
      <c r="B20" s="8" t="s">
        <v>7</v>
      </c>
    </row>
    <row r="21" spans="1:2" ht="16.8" thickTop="1" thickBot="1" x14ac:dyDescent="0.35">
      <c r="A21" s="7" t="s">
        <v>8</v>
      </c>
      <c r="B21" s="9" t="s">
        <v>9</v>
      </c>
    </row>
    <row r="22" spans="1:2" ht="48" customHeight="1" thickTop="1" thickBot="1" x14ac:dyDescent="0.35">
      <c r="A22" s="10" t="s">
        <v>10</v>
      </c>
      <c r="B22" s="9" t="s">
        <v>164</v>
      </c>
    </row>
    <row r="23" spans="1:2" ht="48" customHeight="1" thickTop="1" x14ac:dyDescent="0.3">
      <c r="A23" s="11"/>
    </row>
    <row r="24" spans="1:2" ht="48" customHeight="1" x14ac:dyDescent="0.3">
      <c r="A24" s="11"/>
    </row>
  </sheetData>
  <mergeCells count="5">
    <mergeCell ref="A9:B9"/>
    <mergeCell ref="A13:B13"/>
    <mergeCell ref="A14:B14"/>
    <mergeCell ref="A10:B10"/>
    <mergeCell ref="A11:B11"/>
  </mergeCells>
  <pageMargins left="1.24015748031496" right="0.70000000000000007" top="1.1437007874015752" bottom="1.1437007874015752" header="0.75000000000000011" footer="0.7500000000000001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O45"/>
  <sheetViews>
    <sheetView workbookViewId="0">
      <selection activeCell="A12" sqref="A12"/>
    </sheetView>
  </sheetViews>
  <sheetFormatPr defaultRowHeight="14.4" x14ac:dyDescent="0.3"/>
  <cols>
    <col min="1" max="1" width="52.69921875" style="1" customWidth="1"/>
    <col min="2" max="2" width="17.8984375" style="1" customWidth="1"/>
    <col min="3" max="3" width="18.8984375" style="1" customWidth="1"/>
    <col min="4" max="8" width="16.59765625" style="1" customWidth="1"/>
    <col min="9" max="9" width="8.69921875" style="1" customWidth="1"/>
    <col min="10" max="10" width="10.5" style="1" customWidth="1"/>
    <col min="11" max="11" width="10.09765625" style="164" customWidth="1"/>
    <col min="12" max="12" width="13" style="1" customWidth="1"/>
    <col min="13" max="1029" width="8.69921875" style="1" customWidth="1"/>
    <col min="1030" max="1030" width="9" customWidth="1"/>
  </cols>
  <sheetData>
    <row r="1" spans="1:1029" x14ac:dyDescent="0.3">
      <c r="B1" s="265" t="s">
        <v>321</v>
      </c>
      <c r="C1" s="265"/>
      <c r="D1" s="3"/>
      <c r="E1" s="235"/>
      <c r="F1" s="235"/>
      <c r="G1" s="235"/>
      <c r="H1" s="3"/>
    </row>
    <row r="2" spans="1:1029" x14ac:dyDescent="0.3">
      <c r="B2" s="2"/>
    </row>
    <row r="3" spans="1:1029" x14ac:dyDescent="0.3">
      <c r="A3" s="265" t="s">
        <v>0</v>
      </c>
      <c r="B3" s="265"/>
      <c r="C3" s="265"/>
      <c r="D3" s="3"/>
      <c r="E3" s="235"/>
      <c r="F3" s="235"/>
      <c r="G3" s="235"/>
      <c r="H3" s="3"/>
    </row>
    <row r="4" spans="1:1029" x14ac:dyDescent="0.3">
      <c r="A4" s="265" t="s">
        <v>359</v>
      </c>
      <c r="B4" s="265"/>
      <c r="C4" s="265"/>
      <c r="D4" s="3"/>
      <c r="E4" s="235"/>
      <c r="F4" s="235"/>
      <c r="G4" s="235"/>
      <c r="H4" s="3"/>
    </row>
    <row r="5" spans="1:1029" ht="15.6" x14ac:dyDescent="0.3">
      <c r="A5" s="269" t="s">
        <v>11</v>
      </c>
      <c r="B5" s="269"/>
      <c r="C5" s="269"/>
      <c r="D5" s="12"/>
      <c r="E5" s="236"/>
      <c r="F5" s="236"/>
      <c r="G5" s="236"/>
      <c r="H5" s="12"/>
    </row>
    <row r="6" spans="1:1029" ht="15.6" x14ac:dyDescent="0.3">
      <c r="A6" s="269" t="s">
        <v>50</v>
      </c>
      <c r="B6" s="269"/>
      <c r="C6" s="269"/>
      <c r="D6" s="12"/>
      <c r="E6" s="236"/>
      <c r="F6" s="236"/>
      <c r="G6" s="236"/>
      <c r="H6" s="12"/>
    </row>
    <row r="7" spans="1:1029" ht="15.6" x14ac:dyDescent="0.3">
      <c r="A7" s="12"/>
      <c r="B7" s="12"/>
      <c r="C7" s="12"/>
      <c r="D7" s="12"/>
      <c r="E7" s="236"/>
      <c r="F7" s="236"/>
      <c r="G7" s="236"/>
      <c r="H7" s="12"/>
    </row>
    <row r="8" spans="1:1029" ht="15.75" customHeight="1" x14ac:dyDescent="0.3">
      <c r="A8" s="268" t="s">
        <v>271</v>
      </c>
      <c r="B8" s="268"/>
      <c r="C8" s="13" t="s">
        <v>12</v>
      </c>
      <c r="D8" s="13" t="s">
        <v>13</v>
      </c>
      <c r="E8" s="13"/>
      <c r="F8" s="13" t="s">
        <v>12</v>
      </c>
      <c r="G8" s="13" t="s">
        <v>13</v>
      </c>
    </row>
    <row r="9" spans="1:1029" ht="15.6" x14ac:dyDescent="0.3">
      <c r="A9" s="14" t="s">
        <v>5</v>
      </c>
      <c r="B9" s="14" t="s">
        <v>14</v>
      </c>
      <c r="C9" s="14" t="s">
        <v>14</v>
      </c>
      <c r="D9" s="14" t="s">
        <v>14</v>
      </c>
      <c r="E9" s="14" t="s">
        <v>364</v>
      </c>
      <c r="F9" s="14" t="s">
        <v>364</v>
      </c>
      <c r="G9" s="14" t="s">
        <v>364</v>
      </c>
      <c r="H9" s="15" t="s">
        <v>15</v>
      </c>
      <c r="J9" s="164"/>
      <c r="K9" s="1"/>
      <c r="AMO9"/>
    </row>
    <row r="10" spans="1:1029" ht="31.2" x14ac:dyDescent="0.3">
      <c r="A10" s="16"/>
      <c r="B10" s="17" t="s">
        <v>274</v>
      </c>
      <c r="C10" s="17" t="s">
        <v>274</v>
      </c>
      <c r="D10" s="17" t="s">
        <v>274</v>
      </c>
      <c r="E10" s="17" t="s">
        <v>343</v>
      </c>
      <c r="F10" s="17" t="s">
        <v>343</v>
      </c>
      <c r="G10" s="17" t="s">
        <v>343</v>
      </c>
      <c r="H10" s="18"/>
      <c r="J10" s="164"/>
      <c r="K10" s="1"/>
      <c r="AMO10"/>
    </row>
    <row r="11" spans="1:1029" ht="15.6" x14ac:dyDescent="0.3">
      <c r="A11" s="19" t="s">
        <v>16</v>
      </c>
      <c r="B11" s="20">
        <f>'2B'!B12+'2C'!B12+'2D'!B12</f>
        <v>800345500</v>
      </c>
      <c r="C11" s="20">
        <f t="shared" ref="C11:C19" si="0">SUM(B11-D11)</f>
        <v>799845500</v>
      </c>
      <c r="D11" s="20">
        <f>'2D'!B12</f>
        <v>500000</v>
      </c>
      <c r="E11" s="20">
        <f>'2B'!C12+'2C'!C12+'2D'!C12</f>
        <v>811096990</v>
      </c>
      <c r="F11" s="20">
        <f>E11-G11</f>
        <v>810596990</v>
      </c>
      <c r="G11" s="20">
        <f>'2D'!C12</f>
        <v>500000</v>
      </c>
      <c r="H11" s="21" t="s">
        <v>17</v>
      </c>
      <c r="I11" s="138"/>
      <c r="J11" s="174" t="e">
        <f>B11/#REF!</f>
        <v>#REF!</v>
      </c>
      <c r="K11" s="1"/>
      <c r="AMO11"/>
    </row>
    <row r="12" spans="1:1029" ht="15.6" x14ac:dyDescent="0.3">
      <c r="A12" s="19" t="s">
        <v>18</v>
      </c>
      <c r="B12" s="20">
        <f>'2B'!B13+'2C'!B13+'2D'!B13</f>
        <v>136203650</v>
      </c>
      <c r="C12" s="20">
        <f t="shared" si="0"/>
        <v>136023700</v>
      </c>
      <c r="D12" s="20">
        <f>'2D'!B13</f>
        <v>179950</v>
      </c>
      <c r="E12" s="20">
        <f>'2B'!C13+'2C'!C13+'2D'!C13</f>
        <v>137763491</v>
      </c>
      <c r="F12" s="20">
        <f t="shared" ref="F12:F17" si="1">E12-G12</f>
        <v>137583541</v>
      </c>
      <c r="G12" s="20">
        <f>'2D'!C13</f>
        <v>179950</v>
      </c>
      <c r="H12" s="21" t="s">
        <v>19</v>
      </c>
      <c r="I12" s="138"/>
      <c r="J12" s="174" t="e">
        <f>B12/#REF!</f>
        <v>#REF!</v>
      </c>
      <c r="K12" s="1"/>
      <c r="AMO12"/>
    </row>
    <row r="13" spans="1:1029" ht="15.6" x14ac:dyDescent="0.3">
      <c r="A13" s="19" t="s">
        <v>20</v>
      </c>
      <c r="B13" s="20">
        <f>'2B'!B14+'2C'!B14+'2D'!B14</f>
        <v>323724370</v>
      </c>
      <c r="C13" s="20">
        <f t="shared" si="0"/>
        <v>319860000</v>
      </c>
      <c r="D13" s="20">
        <f>'2D'!B14</f>
        <v>3864370</v>
      </c>
      <c r="E13" s="20">
        <f>'2B'!C14+'2C'!C14+'2D'!C14</f>
        <v>327899303</v>
      </c>
      <c r="F13" s="20">
        <f t="shared" si="1"/>
        <v>324034933</v>
      </c>
      <c r="G13" s="20">
        <f>'2D'!C14</f>
        <v>3864370</v>
      </c>
      <c r="H13" s="21" t="s">
        <v>21</v>
      </c>
      <c r="I13" s="138"/>
      <c r="J13" s="174" t="e">
        <f>B13/#REF!</f>
        <v>#REF!</v>
      </c>
      <c r="K13" s="1"/>
      <c r="AMO13"/>
    </row>
    <row r="14" spans="1:1029" s="239" customFormat="1" ht="15.6" x14ac:dyDescent="0.3">
      <c r="A14" s="19" t="s">
        <v>349</v>
      </c>
      <c r="B14" s="20">
        <v>1050000</v>
      </c>
      <c r="C14" s="20">
        <v>1050000</v>
      </c>
      <c r="D14" s="20">
        <v>0</v>
      </c>
      <c r="E14" s="20">
        <f>'2B'!C15+'2C'!C15</f>
        <v>1050000</v>
      </c>
      <c r="F14" s="20">
        <f t="shared" si="1"/>
        <v>1050000</v>
      </c>
      <c r="G14" s="20">
        <v>0</v>
      </c>
      <c r="H14" s="21"/>
      <c r="I14" s="138"/>
      <c r="J14" s="17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</row>
    <row r="15" spans="1:1029" ht="15.6" x14ac:dyDescent="0.3">
      <c r="A15" s="19" t="s">
        <v>22</v>
      </c>
      <c r="B15" s="20">
        <f>'2B'!B16+'2D'!B15</f>
        <v>7574000</v>
      </c>
      <c r="C15" s="20">
        <v>17000</v>
      </c>
      <c r="D15" s="20">
        <f>7574000-17000</f>
        <v>7557000</v>
      </c>
      <c r="E15" s="20">
        <f>'2B'!C16+'2D'!C15</f>
        <v>8130814</v>
      </c>
      <c r="F15" s="20">
        <f t="shared" si="1"/>
        <v>573814</v>
      </c>
      <c r="G15" s="20">
        <f>'2D'!C15</f>
        <v>7557000</v>
      </c>
      <c r="H15" s="21" t="s">
        <v>23</v>
      </c>
      <c r="I15" s="138"/>
      <c r="J15" s="174" t="e">
        <f>B15/#REF!</f>
        <v>#REF!</v>
      </c>
      <c r="K15" s="1"/>
      <c r="AMO15"/>
    </row>
    <row r="16" spans="1:1029" ht="15.6" x14ac:dyDescent="0.3">
      <c r="A16" s="19" t="s">
        <v>24</v>
      </c>
      <c r="B16" s="20">
        <f>'2B'!B17+'2C'!B16+'2D'!B17</f>
        <v>40651369</v>
      </c>
      <c r="C16" s="20">
        <f t="shared" si="0"/>
        <v>31262369</v>
      </c>
      <c r="D16" s="20">
        <f>'2D'!B17</f>
        <v>9389000</v>
      </c>
      <c r="E16" s="20">
        <f>'2B'!C17+'2C'!C16+'2D'!C17</f>
        <v>40651369</v>
      </c>
      <c r="F16" s="20">
        <f t="shared" si="1"/>
        <v>31262369</v>
      </c>
      <c r="G16" s="20">
        <f>'2D'!C17</f>
        <v>9389000</v>
      </c>
      <c r="H16" s="22" t="s">
        <v>25</v>
      </c>
      <c r="I16" s="138"/>
      <c r="J16" s="174" t="e">
        <f>B16/#REF!</f>
        <v>#REF!</v>
      </c>
      <c r="K16" s="1"/>
      <c r="AMO16"/>
    </row>
    <row r="17" spans="1:11 1029:1029" ht="15.6" x14ac:dyDescent="0.3">
      <c r="A17" s="19" t="s">
        <v>26</v>
      </c>
      <c r="B17" s="23">
        <v>0</v>
      </c>
      <c r="C17" s="20">
        <f t="shared" si="0"/>
        <v>0</v>
      </c>
      <c r="D17" s="20">
        <v>0</v>
      </c>
      <c r="E17" s="20">
        <v>0</v>
      </c>
      <c r="F17" s="20">
        <f t="shared" si="1"/>
        <v>0</v>
      </c>
      <c r="G17" s="20">
        <v>0</v>
      </c>
      <c r="H17" s="21" t="s">
        <v>27</v>
      </c>
      <c r="I17" s="138"/>
      <c r="J17" s="174" t="e">
        <f>B17/#REF!</f>
        <v>#REF!</v>
      </c>
      <c r="K17" s="1"/>
      <c r="AMO17"/>
    </row>
    <row r="18" spans="1:11 1029:1029" ht="15.6" x14ac:dyDescent="0.3">
      <c r="A18" s="24" t="s">
        <v>28</v>
      </c>
      <c r="B18" s="26">
        <f>SUM(B11:B17)</f>
        <v>1309548889</v>
      </c>
      <c r="C18" s="27">
        <f t="shared" si="0"/>
        <v>1288058569</v>
      </c>
      <c r="D18" s="26">
        <f>SUM(D11:D17)</f>
        <v>21490320</v>
      </c>
      <c r="E18" s="25">
        <f>SUM(E11:E17)</f>
        <v>1326591967</v>
      </c>
      <c r="F18" s="25">
        <f>SUM(F11:F17)</f>
        <v>1305101647</v>
      </c>
      <c r="G18" s="25">
        <f>SUM(G11:G17)</f>
        <v>21490320</v>
      </c>
      <c r="H18" s="21"/>
      <c r="I18" s="138"/>
      <c r="J18" s="174" t="e">
        <f>B18/#REF!</f>
        <v>#REF!</v>
      </c>
      <c r="K18" s="1"/>
      <c r="AMO18"/>
    </row>
    <row r="19" spans="1:11 1029:1029" ht="15.6" x14ac:dyDescent="0.3">
      <c r="A19" s="19" t="s">
        <v>29</v>
      </c>
      <c r="B19" s="29">
        <f>'2D'!B20</f>
        <v>218143651.75</v>
      </c>
      <c r="C19" s="20">
        <f t="shared" si="0"/>
        <v>208682571.75</v>
      </c>
      <c r="D19" s="29">
        <f>D33-D18</f>
        <v>9461080</v>
      </c>
      <c r="E19" s="28">
        <f>'2D'!C20</f>
        <v>210936927</v>
      </c>
      <c r="F19" s="28">
        <f>208682572-5942000-1264725</f>
        <v>201475847</v>
      </c>
      <c r="G19" s="28">
        <f>E19-F19</f>
        <v>9461080</v>
      </c>
      <c r="H19" s="21" t="s">
        <v>139</v>
      </c>
      <c r="I19" s="138"/>
      <c r="J19" s="174" t="e">
        <f>B19/#REF!</f>
        <v>#REF!</v>
      </c>
      <c r="K19" s="1"/>
      <c r="AMO19"/>
    </row>
    <row r="20" spans="1:11 1029:1029" ht="15.6" x14ac:dyDescent="0.3">
      <c r="A20" s="19" t="s">
        <v>30</v>
      </c>
      <c r="B20" s="241" t="s">
        <v>31</v>
      </c>
      <c r="C20" s="241" t="s">
        <v>31</v>
      </c>
      <c r="D20" s="241" t="s">
        <v>31</v>
      </c>
      <c r="E20" s="241" t="s">
        <v>31</v>
      </c>
      <c r="F20" s="241" t="s">
        <v>31</v>
      </c>
      <c r="G20" s="241" t="s">
        <v>31</v>
      </c>
      <c r="H20" s="21"/>
      <c r="I20" s="138"/>
      <c r="J20" s="174" t="e">
        <f>B20/#REF!</f>
        <v>#VALUE!</v>
      </c>
      <c r="K20" s="1"/>
      <c r="AMO20"/>
    </row>
    <row r="21" spans="1:11 1029:1029" ht="15.6" x14ac:dyDescent="0.3">
      <c r="A21" s="31" t="s">
        <v>32</v>
      </c>
      <c r="B21" s="28">
        <f>B18+B19</f>
        <v>1527692540.75</v>
      </c>
      <c r="C21" s="28">
        <f>SUM(B21-D21)</f>
        <v>1496741140.75</v>
      </c>
      <c r="D21" s="29">
        <f>SUM(D18+D19)</f>
        <v>30951400</v>
      </c>
      <c r="E21" s="28">
        <f>E18+E19</f>
        <v>1537528894</v>
      </c>
      <c r="F21" s="28">
        <f>F18+F19</f>
        <v>1506577494</v>
      </c>
      <c r="G21" s="28">
        <f>G18+G19</f>
        <v>30951400</v>
      </c>
      <c r="H21" s="21"/>
      <c r="I21" s="138"/>
      <c r="J21" s="174" t="e">
        <f>B21/#REF!</f>
        <v>#REF!</v>
      </c>
      <c r="K21" s="1"/>
      <c r="AMO21"/>
    </row>
    <row r="22" spans="1:11 1029:1029" ht="15.6" x14ac:dyDescent="0.3">
      <c r="A22" s="32"/>
      <c r="B22" s="30"/>
      <c r="C22" s="30"/>
      <c r="D22" s="30"/>
      <c r="E22" s="30"/>
      <c r="F22" s="30"/>
      <c r="G22" s="30"/>
      <c r="J22" s="164"/>
      <c r="K22" s="1"/>
      <c r="AMO22"/>
    </row>
    <row r="23" spans="1:11 1029:1029" ht="15.6" x14ac:dyDescent="0.3">
      <c r="A23" s="19" t="s">
        <v>33</v>
      </c>
      <c r="B23" s="20">
        <f>'2B'!B23+'2C'!B22+'2D'!B24</f>
        <v>298100000</v>
      </c>
      <c r="C23" s="20">
        <f t="shared" ref="C23:C30" si="2">B23-D23</f>
        <v>298100000</v>
      </c>
      <c r="D23" s="20">
        <f>'2D'!B24</f>
        <v>0</v>
      </c>
      <c r="E23" s="20">
        <f>'2B'!C23+'2C'!C22+'2D'!C24</f>
        <v>298100000</v>
      </c>
      <c r="F23" s="20">
        <f>E23-G23</f>
        <v>298100000</v>
      </c>
      <c r="G23" s="20">
        <f>'2D'!C24</f>
        <v>0</v>
      </c>
      <c r="H23" s="21" t="s">
        <v>34</v>
      </c>
      <c r="J23" s="174" t="e">
        <f>B23/#REF!</f>
        <v>#REF!</v>
      </c>
      <c r="K23" s="1"/>
      <c r="AMO23"/>
    </row>
    <row r="24" spans="1:11 1029:1029" ht="15.6" x14ac:dyDescent="0.3">
      <c r="A24" s="19" t="s">
        <v>35</v>
      </c>
      <c r="B24" s="20">
        <v>0</v>
      </c>
      <c r="C24" s="20">
        <f t="shared" si="2"/>
        <v>0</v>
      </c>
      <c r="D24" s="20">
        <v>0</v>
      </c>
      <c r="E24" s="20">
        <v>0</v>
      </c>
      <c r="F24" s="20">
        <f t="shared" ref="F24:F29" si="3">E24-G24</f>
        <v>0</v>
      </c>
      <c r="G24" s="20">
        <f>'2D'!C25</f>
        <v>0</v>
      </c>
      <c r="H24" s="21"/>
      <c r="J24" s="174" t="e">
        <f>B24/#REF!</f>
        <v>#REF!</v>
      </c>
      <c r="K24" s="1"/>
      <c r="AMO24"/>
    </row>
    <row r="25" spans="1:11 1029:1029" ht="28.8" x14ac:dyDescent="0.3">
      <c r="A25" s="19" t="s">
        <v>36</v>
      </c>
      <c r="B25" s="20">
        <f>'2B'!B24+'2C'!B23+'2D'!B26</f>
        <v>9643000</v>
      </c>
      <c r="C25" s="20">
        <f t="shared" si="2"/>
        <v>0</v>
      </c>
      <c r="D25" s="20">
        <f>'2D'!B26</f>
        <v>9643000</v>
      </c>
      <c r="E25" s="20">
        <f>'2B'!C24+'2C'!C23+'2D'!C26</f>
        <v>9643000</v>
      </c>
      <c r="F25" s="20">
        <f t="shared" si="3"/>
        <v>0</v>
      </c>
      <c r="G25" s="20">
        <f>'2D'!C26</f>
        <v>9643000</v>
      </c>
      <c r="H25" s="22" t="s">
        <v>37</v>
      </c>
      <c r="J25" s="174" t="e">
        <f>B25/#REF!</f>
        <v>#REF!</v>
      </c>
      <c r="K25" s="1"/>
      <c r="AMO25"/>
    </row>
    <row r="26" spans="1:11 1029:1029" ht="15.6" x14ac:dyDescent="0.3">
      <c r="A26" s="19" t="s">
        <v>38</v>
      </c>
      <c r="B26" s="20">
        <v>0</v>
      </c>
      <c r="C26" s="20">
        <f t="shared" si="2"/>
        <v>0</v>
      </c>
      <c r="D26" s="20">
        <v>0</v>
      </c>
      <c r="E26" s="20">
        <v>0</v>
      </c>
      <c r="F26" s="20">
        <f t="shared" si="3"/>
        <v>0</v>
      </c>
      <c r="G26" s="20">
        <v>0</v>
      </c>
      <c r="H26" s="21"/>
      <c r="J26" s="174" t="e">
        <f>B26/#REF!</f>
        <v>#REF!</v>
      </c>
      <c r="K26" s="1"/>
      <c r="AMO26"/>
    </row>
    <row r="27" spans="1:11 1029:1029" ht="15.6" x14ac:dyDescent="0.3">
      <c r="A27" s="19" t="s">
        <v>39</v>
      </c>
      <c r="B27" s="20">
        <f>'2B'!B26+'2C'!B25+'2D'!B28</f>
        <v>1004031917</v>
      </c>
      <c r="C27" s="20">
        <f t="shared" si="2"/>
        <v>982723517</v>
      </c>
      <c r="D27" s="20">
        <f>'[1]2021 tagdíj'!$E$37</f>
        <v>21308400</v>
      </c>
      <c r="E27" s="20">
        <f>'2B'!C26+'2C'!C25+'2D'!C28</f>
        <v>1013868250</v>
      </c>
      <c r="F27" s="20">
        <f t="shared" si="3"/>
        <v>992559850</v>
      </c>
      <c r="G27" s="20">
        <v>21308400</v>
      </c>
      <c r="H27" s="21" t="s">
        <v>40</v>
      </c>
      <c r="J27" s="174" t="e">
        <f>B27/#REF!</f>
        <v>#REF!</v>
      </c>
      <c r="K27" s="1"/>
      <c r="AMO27"/>
    </row>
    <row r="28" spans="1:11 1029:1029" ht="15.6" x14ac:dyDescent="0.3">
      <c r="A28" s="19" t="s">
        <v>41</v>
      </c>
      <c r="B28" s="20">
        <f>'2D'!B29</f>
        <v>556455877</v>
      </c>
      <c r="C28" s="20">
        <f t="shared" si="2"/>
        <v>556455877</v>
      </c>
      <c r="D28" s="20">
        <v>0</v>
      </c>
      <c r="E28" s="20">
        <f>'2D'!C29</f>
        <v>601313182</v>
      </c>
      <c r="F28" s="20">
        <f t="shared" si="3"/>
        <v>601313182</v>
      </c>
      <c r="G28" s="20">
        <v>0</v>
      </c>
      <c r="H28" s="21"/>
      <c r="J28" s="174" t="e">
        <f>B28/#REF!</f>
        <v>#REF!</v>
      </c>
      <c r="K28" s="1"/>
      <c r="AMO28"/>
    </row>
    <row r="29" spans="1:11 1029:1029" ht="15.6" x14ac:dyDescent="0.3">
      <c r="A29" s="19" t="s">
        <v>42</v>
      </c>
      <c r="B29" s="23">
        <v>0</v>
      </c>
      <c r="C29" s="20">
        <f t="shared" si="2"/>
        <v>0</v>
      </c>
      <c r="D29" s="23">
        <v>0</v>
      </c>
      <c r="E29" s="23">
        <v>0</v>
      </c>
      <c r="F29" s="20">
        <f t="shared" si="3"/>
        <v>0</v>
      </c>
      <c r="G29" s="23">
        <v>0</v>
      </c>
      <c r="H29" s="21" t="s">
        <v>43</v>
      </c>
      <c r="J29" s="174" t="e">
        <f>B29/#REF!</f>
        <v>#REF!</v>
      </c>
      <c r="K29" s="1"/>
      <c r="AMO29"/>
    </row>
    <row r="30" spans="1:11 1029:1029" ht="15.6" x14ac:dyDescent="0.3">
      <c r="A30" s="24" t="s">
        <v>44</v>
      </c>
      <c r="B30" s="26">
        <f>B27+B23+B25</f>
        <v>1311774917</v>
      </c>
      <c r="C30" s="25">
        <f t="shared" si="2"/>
        <v>1280823517</v>
      </c>
      <c r="D30" s="25">
        <f>D27+D23+D25</f>
        <v>30951400</v>
      </c>
      <c r="E30" s="25">
        <f>E23+E25+E27</f>
        <v>1321611250</v>
      </c>
      <c r="F30" s="25">
        <f>F23+F25+F27</f>
        <v>1290659850</v>
      </c>
      <c r="G30" s="25">
        <f>G23+G25+G27</f>
        <v>30951400</v>
      </c>
      <c r="H30" s="21"/>
      <c r="J30" s="174" t="e">
        <f>B30/#REF!</f>
        <v>#REF!</v>
      </c>
      <c r="K30" s="1"/>
      <c r="AMO30"/>
    </row>
    <row r="31" spans="1:11 1029:1029" ht="15.6" x14ac:dyDescent="0.3">
      <c r="A31" s="19" t="s">
        <v>157</v>
      </c>
      <c r="B31" s="23">
        <f>'2B'!B31+'2C'!B30+'2D'!B33</f>
        <v>215917624</v>
      </c>
      <c r="C31" s="20">
        <f>B31-D31</f>
        <v>215917624</v>
      </c>
      <c r="D31" s="20">
        <v>0</v>
      </c>
      <c r="E31" s="20">
        <f>'2B'!C31+'2C'!C30+'2D'!C33</f>
        <v>215917644</v>
      </c>
      <c r="F31" s="20">
        <f>E31-G31</f>
        <v>215917644</v>
      </c>
      <c r="G31" s="20">
        <v>0</v>
      </c>
      <c r="H31" s="21"/>
      <c r="J31" s="164"/>
      <c r="K31" s="1"/>
      <c r="AMO31"/>
    </row>
    <row r="32" spans="1:11 1029:1029" ht="15.6" x14ac:dyDescent="0.3">
      <c r="A32" s="19" t="s">
        <v>45</v>
      </c>
      <c r="B32" s="241" t="s">
        <v>31</v>
      </c>
      <c r="C32" s="241" t="s">
        <v>31</v>
      </c>
      <c r="D32" s="241" t="s">
        <v>31</v>
      </c>
      <c r="E32" s="241" t="s">
        <v>31</v>
      </c>
      <c r="F32" s="241" t="s">
        <v>31</v>
      </c>
      <c r="G32" s="241" t="s">
        <v>31</v>
      </c>
      <c r="H32" s="21"/>
      <c r="J32" s="164"/>
      <c r="K32" s="1"/>
      <c r="AMO32"/>
    </row>
    <row r="33" spans="1:1029" ht="15.6" x14ac:dyDescent="0.3">
      <c r="A33" s="33" t="s">
        <v>46</v>
      </c>
      <c r="B33" s="29">
        <f>B30+B31</f>
        <v>1527692541</v>
      </c>
      <c r="C33" s="28">
        <f>B33-D33</f>
        <v>1496741141</v>
      </c>
      <c r="D33" s="28">
        <f>D30+D31</f>
        <v>30951400</v>
      </c>
      <c r="E33" s="28">
        <f>E30+E31</f>
        <v>1537528894</v>
      </c>
      <c r="F33" s="28">
        <f>F30+F31</f>
        <v>1506577494</v>
      </c>
      <c r="G33" s="28">
        <f>G30+G31</f>
        <v>30951400</v>
      </c>
      <c r="H33" s="21"/>
      <c r="I33" s="138"/>
      <c r="J33" s="164"/>
      <c r="K33" s="1"/>
      <c r="AMO33"/>
    </row>
    <row r="34" spans="1:1029" ht="15.6" x14ac:dyDescent="0.3">
      <c r="A34" s="34"/>
      <c r="B34" s="35"/>
      <c r="C34" s="35"/>
      <c r="D34" s="35"/>
      <c r="E34" s="35"/>
      <c r="F34" s="35"/>
      <c r="G34" s="35"/>
      <c r="H34" s="35"/>
    </row>
    <row r="36" spans="1:1029" x14ac:dyDescent="0.3">
      <c r="A36" s="1" t="s">
        <v>345</v>
      </c>
    </row>
    <row r="37" spans="1:1029" x14ac:dyDescent="0.3">
      <c r="B37" s="149"/>
    </row>
    <row r="38" spans="1:1029" x14ac:dyDescent="0.3">
      <c r="A38" s="148"/>
      <c r="B38" s="150" t="s">
        <v>235</v>
      </c>
      <c r="C38" s="148"/>
      <c r="D38"/>
      <c r="E38" s="239"/>
      <c r="F38" s="239"/>
      <c r="G38" s="239"/>
      <c r="H38"/>
    </row>
    <row r="39" spans="1:1029" s="172" customFormat="1" x14ac:dyDescent="0.3">
      <c r="A39" s="148"/>
      <c r="B39" s="150" t="s">
        <v>268</v>
      </c>
      <c r="C39" s="148"/>
      <c r="E39" s="239"/>
      <c r="F39" s="239"/>
      <c r="G39" s="239"/>
      <c r="I39" s="1"/>
      <c r="J39" s="1"/>
      <c r="K39" s="16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</row>
    <row r="40" spans="1:1029" ht="28.8" x14ac:dyDescent="0.3">
      <c r="B40" s="143" t="s">
        <v>168</v>
      </c>
      <c r="C40" s="144" t="s">
        <v>275</v>
      </c>
    </row>
    <row r="41" spans="1:1029" ht="57.6" x14ac:dyDescent="0.3">
      <c r="B41" s="143" t="s">
        <v>132</v>
      </c>
      <c r="C41" s="144" t="s">
        <v>181</v>
      </c>
    </row>
    <row r="42" spans="1:1029" x14ac:dyDescent="0.3">
      <c r="B42" s="143" t="s">
        <v>133</v>
      </c>
      <c r="C42" s="144" t="s">
        <v>134</v>
      </c>
    </row>
    <row r="43" spans="1:1029" x14ac:dyDescent="0.3">
      <c r="B43" s="143" t="s">
        <v>136</v>
      </c>
      <c r="C43" s="144" t="s">
        <v>135</v>
      </c>
    </row>
    <row r="44" spans="1:1029" x14ac:dyDescent="0.3">
      <c r="B44" s="143" t="s">
        <v>132</v>
      </c>
      <c r="C44" s="144" t="s">
        <v>137</v>
      </c>
    </row>
    <row r="45" spans="1:1029" ht="28.8" x14ac:dyDescent="0.3">
      <c r="B45" s="143" t="s">
        <v>260</v>
      </c>
      <c r="C45" s="144" t="s">
        <v>261</v>
      </c>
    </row>
  </sheetData>
  <mergeCells count="6">
    <mergeCell ref="A8:B8"/>
    <mergeCell ref="B1:C1"/>
    <mergeCell ref="A3:C3"/>
    <mergeCell ref="A4:C4"/>
    <mergeCell ref="A5:C5"/>
    <mergeCell ref="A6:C6"/>
  </mergeCells>
  <pageMargins left="0.70826771653543308" right="0.70826771653543308" top="1.1417322834645671" bottom="1.1417322834645671" header="0.74803149606299213" footer="0.74803149606299213"/>
  <pageSetup paperSize="8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9"/>
  <sheetViews>
    <sheetView zoomScaleNormal="100" workbookViewId="0">
      <selection activeCell="F12" sqref="F12:H33"/>
    </sheetView>
  </sheetViews>
  <sheetFormatPr defaultRowHeight="14.4" x14ac:dyDescent="0.3"/>
  <cols>
    <col min="1" max="1" width="48" style="1" customWidth="1"/>
    <col min="2" max="2" width="14.8984375" style="1" customWidth="1"/>
    <col min="3" max="3" width="16.8984375" style="137" customWidth="1"/>
    <col min="4" max="4" width="16.8984375" style="1" customWidth="1"/>
    <col min="5" max="5" width="8.69921875" style="1" customWidth="1"/>
    <col min="6" max="6" width="15.69921875" style="253" customWidth="1"/>
    <col min="7" max="7" width="8.69921875" style="1" customWidth="1"/>
    <col min="8" max="8" width="8.69921875" style="164" customWidth="1"/>
    <col min="9" max="1025" width="8.69921875" style="1" customWidth="1"/>
    <col min="1026" max="1026" width="9" customWidth="1"/>
  </cols>
  <sheetData>
    <row r="1" spans="1:1025" x14ac:dyDescent="0.3">
      <c r="B1" s="265" t="s">
        <v>322</v>
      </c>
      <c r="C1" s="265"/>
      <c r="D1" s="124"/>
    </row>
    <row r="2" spans="1:1025" x14ac:dyDescent="0.3">
      <c r="B2" s="2"/>
    </row>
    <row r="3" spans="1:1025" x14ac:dyDescent="0.3">
      <c r="A3" s="265" t="s">
        <v>0</v>
      </c>
      <c r="B3" s="265"/>
      <c r="C3" s="265"/>
      <c r="D3" s="124"/>
    </row>
    <row r="4" spans="1:1025" x14ac:dyDescent="0.3">
      <c r="A4" s="265" t="s">
        <v>359</v>
      </c>
      <c r="B4" s="265"/>
      <c r="C4" s="265"/>
      <c r="D4" s="124"/>
    </row>
    <row r="5" spans="1:1025" ht="15.6" x14ac:dyDescent="0.3">
      <c r="A5" s="269" t="s">
        <v>11</v>
      </c>
      <c r="B5" s="269"/>
      <c r="C5" s="269"/>
      <c r="D5" s="126"/>
    </row>
    <row r="6" spans="1:1025" ht="15.6" x14ac:dyDescent="0.3">
      <c r="A6" s="269" t="s">
        <v>166</v>
      </c>
      <c r="B6" s="269"/>
      <c r="C6" s="269"/>
      <c r="D6" s="126"/>
    </row>
    <row r="8" spans="1:1025" ht="15.6" x14ac:dyDescent="0.3">
      <c r="B8" s="12"/>
      <c r="C8" s="244" t="s">
        <v>47</v>
      </c>
      <c r="D8" s="126"/>
    </row>
    <row r="9" spans="1:1025" x14ac:dyDescent="0.3">
      <c r="A9" s="36" t="s">
        <v>270</v>
      </c>
      <c r="B9" s="36"/>
      <c r="C9" s="245"/>
      <c r="D9" s="37"/>
    </row>
    <row r="10" spans="1:1025" ht="15.6" x14ac:dyDescent="0.3">
      <c r="A10" s="14" t="s">
        <v>5</v>
      </c>
      <c r="B10" s="38" t="s">
        <v>14</v>
      </c>
      <c r="C10" s="246" t="s">
        <v>342</v>
      </c>
      <c r="D10" s="15" t="s">
        <v>15</v>
      </c>
      <c r="E10" s="164"/>
      <c r="F10" s="137"/>
      <c r="G10" s="164"/>
      <c r="H10" s="1"/>
      <c r="AMK10"/>
    </row>
    <row r="11" spans="1:1025" ht="31.2" x14ac:dyDescent="0.3">
      <c r="A11" s="16"/>
      <c r="B11" s="39" t="s">
        <v>346</v>
      </c>
      <c r="C11" s="247" t="s">
        <v>347</v>
      </c>
      <c r="D11" s="18" t="s">
        <v>280</v>
      </c>
      <c r="E11" s="164"/>
      <c r="F11" s="137"/>
      <c r="G11" s="164"/>
      <c r="H11" s="1"/>
      <c r="AMK11"/>
    </row>
    <row r="12" spans="1:1025" ht="15.6" x14ac:dyDescent="0.3">
      <c r="A12" s="19" t="s">
        <v>16</v>
      </c>
      <c r="B12" s="23">
        <v>552860250</v>
      </c>
      <c r="C12" s="243">
        <v>562516740</v>
      </c>
      <c r="D12" s="21" t="s">
        <v>17</v>
      </c>
      <c r="E12" s="164"/>
      <c r="F12" s="253">
        <f>C12-B12</f>
        <v>9656490</v>
      </c>
      <c r="G12" s="164"/>
      <c r="AMK12"/>
    </row>
    <row r="13" spans="1:1025" ht="15.6" x14ac:dyDescent="0.3">
      <c r="A13" s="19" t="s">
        <v>18</v>
      </c>
      <c r="B13" s="23">
        <v>94462200</v>
      </c>
      <c r="C13" s="243">
        <v>95689725</v>
      </c>
      <c r="D13" s="21" t="s">
        <v>19</v>
      </c>
      <c r="E13" s="164"/>
      <c r="F13" s="253">
        <f t="shared" ref="F13:F33" si="0">C13-B13</f>
        <v>1227525</v>
      </c>
      <c r="G13" s="164"/>
      <c r="AMK13"/>
    </row>
    <row r="14" spans="1:1025" ht="15.6" x14ac:dyDescent="0.3">
      <c r="A14" s="19" t="s">
        <v>20</v>
      </c>
      <c r="B14" s="23">
        <v>283690000</v>
      </c>
      <c r="C14" s="243">
        <v>286563003</v>
      </c>
      <c r="D14" s="21" t="s">
        <v>21</v>
      </c>
      <c r="E14" s="164"/>
      <c r="F14" s="253">
        <f t="shared" si="0"/>
        <v>2873003</v>
      </c>
      <c r="G14" s="164"/>
      <c r="AMK14"/>
    </row>
    <row r="15" spans="1:1025" s="239" customFormat="1" ht="15.6" x14ac:dyDescent="0.3">
      <c r="A15" s="19" t="s">
        <v>349</v>
      </c>
      <c r="B15" s="23">
        <v>600000</v>
      </c>
      <c r="C15" s="243">
        <v>600000</v>
      </c>
      <c r="D15" s="21" t="s">
        <v>23</v>
      </c>
      <c r="E15" s="164"/>
      <c r="F15" s="253">
        <f t="shared" si="0"/>
        <v>0</v>
      </c>
      <c r="G15" s="164"/>
      <c r="H15" s="16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5" ht="15.6" x14ac:dyDescent="0.3">
      <c r="A16" s="19" t="s">
        <v>22</v>
      </c>
      <c r="B16" s="23">
        <v>17000</v>
      </c>
      <c r="C16" s="243">
        <v>573814</v>
      </c>
      <c r="D16" s="21" t="s">
        <v>138</v>
      </c>
      <c r="E16" s="164"/>
      <c r="F16" s="253">
        <f t="shared" si="0"/>
        <v>556814</v>
      </c>
      <c r="G16" s="164"/>
      <c r="AMK16"/>
    </row>
    <row r="17" spans="1:8 1025:1025" ht="15.6" x14ac:dyDescent="0.3">
      <c r="A17" s="139" t="s">
        <v>348</v>
      </c>
      <c r="B17" s="23">
        <f>8929920+19003011</f>
        <v>27932931</v>
      </c>
      <c r="C17" s="243">
        <f>8929920+19003011</f>
        <v>27932931</v>
      </c>
      <c r="D17" s="22" t="s">
        <v>25</v>
      </c>
      <c r="E17" s="164"/>
      <c r="F17" s="253">
        <f t="shared" si="0"/>
        <v>0</v>
      </c>
      <c r="G17" s="164"/>
      <c r="AMK17"/>
    </row>
    <row r="18" spans="1:8 1025:1025" ht="15.6" x14ac:dyDescent="0.3">
      <c r="A18" s="19" t="s">
        <v>26</v>
      </c>
      <c r="B18" s="23">
        <v>0</v>
      </c>
      <c r="C18" s="23">
        <v>0</v>
      </c>
      <c r="D18" s="21" t="s">
        <v>27</v>
      </c>
      <c r="E18" s="164"/>
      <c r="F18" s="253">
        <f t="shared" si="0"/>
        <v>0</v>
      </c>
      <c r="G18" s="164"/>
      <c r="AMK18"/>
    </row>
    <row r="19" spans="1:8 1025:1025" ht="15.6" x14ac:dyDescent="0.3">
      <c r="A19" s="24" t="s">
        <v>28</v>
      </c>
      <c r="B19" s="25">
        <f>SUM(B12:B18)</f>
        <v>959562381</v>
      </c>
      <c r="C19" s="248">
        <f>SUM(C12:C18)</f>
        <v>973876213</v>
      </c>
      <c r="D19" s="21"/>
      <c r="E19" s="164"/>
      <c r="F19" s="253">
        <f t="shared" si="0"/>
        <v>14313832</v>
      </c>
      <c r="G19" s="164"/>
      <c r="AMK19"/>
    </row>
    <row r="20" spans="1:8 1025:1025" ht="15.6" x14ac:dyDescent="0.3">
      <c r="A20" s="19" t="s">
        <v>30</v>
      </c>
      <c r="B20" s="242" t="s">
        <v>31</v>
      </c>
      <c r="C20" s="242" t="s">
        <v>31</v>
      </c>
      <c r="D20" s="21"/>
      <c r="E20" s="164"/>
      <c r="G20" s="164"/>
      <c r="AMK20"/>
    </row>
    <row r="21" spans="1:8 1025:1025" ht="15.6" x14ac:dyDescent="0.3">
      <c r="A21" s="31" t="s">
        <v>32</v>
      </c>
      <c r="B21" s="28">
        <f>SUM(B19)</f>
        <v>959562381</v>
      </c>
      <c r="C21" s="249">
        <f>C19</f>
        <v>973876213</v>
      </c>
      <c r="D21" s="21"/>
      <c r="E21" s="164"/>
      <c r="F21" s="253">
        <f t="shared" si="0"/>
        <v>14313832</v>
      </c>
      <c r="G21" s="164"/>
      <c r="AMK21"/>
    </row>
    <row r="22" spans="1:8 1025:1025" ht="15.6" x14ac:dyDescent="0.3">
      <c r="A22" s="32"/>
      <c r="B22" s="30"/>
      <c r="C22" s="250"/>
      <c r="E22" s="164"/>
      <c r="F22" s="253">
        <f t="shared" si="0"/>
        <v>0</v>
      </c>
      <c r="G22" s="164"/>
      <c r="AMK22"/>
    </row>
    <row r="23" spans="1:8 1025:1025" ht="15.6" x14ac:dyDescent="0.3">
      <c r="A23" s="19" t="s">
        <v>33</v>
      </c>
      <c r="B23" s="23">
        <v>296100000</v>
      </c>
      <c r="C23" s="243">
        <v>296100000</v>
      </c>
      <c r="D23" s="21" t="s">
        <v>34</v>
      </c>
      <c r="E23" s="164"/>
      <c r="F23" s="253">
        <f t="shared" si="0"/>
        <v>0</v>
      </c>
      <c r="G23" s="164"/>
      <c r="AMK23"/>
    </row>
    <row r="24" spans="1:8 1025:1025" ht="28.8" x14ac:dyDescent="0.3">
      <c r="A24" s="19" t="s">
        <v>36</v>
      </c>
      <c r="B24" s="23">
        <v>0</v>
      </c>
      <c r="C24" s="23">
        <v>0</v>
      </c>
      <c r="D24" s="22" t="s">
        <v>37</v>
      </c>
      <c r="E24" s="164"/>
      <c r="F24" s="253">
        <f t="shared" si="0"/>
        <v>0</v>
      </c>
      <c r="G24" s="164"/>
      <c r="AMK24"/>
    </row>
    <row r="25" spans="1:8 1025:1025" ht="15.6" x14ac:dyDescent="0.3">
      <c r="A25" s="19" t="s">
        <v>38</v>
      </c>
      <c r="B25" s="23">
        <v>0</v>
      </c>
      <c r="C25" s="23">
        <v>0</v>
      </c>
      <c r="D25" s="21"/>
      <c r="E25" s="164"/>
      <c r="F25" s="253">
        <f t="shared" si="0"/>
        <v>0</v>
      </c>
      <c r="G25" s="164"/>
      <c r="AMK25"/>
    </row>
    <row r="26" spans="1:8 1025:1025" ht="15.6" x14ac:dyDescent="0.3">
      <c r="A26" s="19" t="s">
        <v>39</v>
      </c>
      <c r="B26" s="23">
        <f>'[1]KESZI 2020.12.15'!$G$88</f>
        <v>76413910</v>
      </c>
      <c r="C26" s="243">
        <v>39928437</v>
      </c>
      <c r="D26" s="21" t="s">
        <v>48</v>
      </c>
      <c r="E26" s="164"/>
      <c r="F26" s="253">
        <f t="shared" si="0"/>
        <v>-36485473</v>
      </c>
      <c r="G26" s="164"/>
      <c r="H26" s="164">
        <f>40345404-3859931</f>
        <v>36485473</v>
      </c>
      <c r="AMK26"/>
    </row>
    <row r="27" spans="1:8 1025:1025" ht="15.6" x14ac:dyDescent="0.3">
      <c r="A27" s="19" t="s">
        <v>276</v>
      </c>
      <c r="B27" s="23">
        <f>B26</f>
        <v>76413910</v>
      </c>
      <c r="C27" s="243">
        <f>39928437-3859931</f>
        <v>36068506</v>
      </c>
      <c r="D27" s="21"/>
      <c r="E27" s="164"/>
      <c r="F27" s="253">
        <f t="shared" si="0"/>
        <v>-40345404</v>
      </c>
      <c r="G27" s="164"/>
      <c r="AMK27"/>
    </row>
    <row r="28" spans="1:8 1025:1025" ht="15.6" x14ac:dyDescent="0.3">
      <c r="A28" s="19" t="s">
        <v>49</v>
      </c>
      <c r="B28" s="23">
        <f>'[2]KESZI 2020.12.15'!$G$109</f>
        <v>541272289.20689654</v>
      </c>
      <c r="C28" s="243">
        <v>592071594</v>
      </c>
      <c r="D28" s="21" t="s">
        <v>40</v>
      </c>
      <c r="E28" s="164"/>
      <c r="F28" s="253">
        <f t="shared" si="0"/>
        <v>50799304.793103456</v>
      </c>
      <c r="G28" s="164"/>
      <c r="AMK28"/>
    </row>
    <row r="29" spans="1:8 1025:1025" ht="15.6" x14ac:dyDescent="0.3">
      <c r="A29" s="19" t="s">
        <v>42</v>
      </c>
      <c r="B29" s="23">
        <v>0</v>
      </c>
      <c r="C29" s="23">
        <v>0</v>
      </c>
      <c r="D29" s="21" t="s">
        <v>43</v>
      </c>
      <c r="E29" s="164"/>
      <c r="F29" s="253">
        <f t="shared" si="0"/>
        <v>0</v>
      </c>
      <c r="G29" s="164"/>
      <c r="AMK29"/>
    </row>
    <row r="30" spans="1:8 1025:1025" ht="15.6" x14ac:dyDescent="0.3">
      <c r="A30" s="24" t="s">
        <v>44</v>
      </c>
      <c r="B30" s="26">
        <f>SUM(B29+B28+B26+B24+B23)</f>
        <v>913786199.20689654</v>
      </c>
      <c r="C30" s="25">
        <f>SUM(C29+C28+C26+C24+C23)</f>
        <v>928100031</v>
      </c>
      <c r="D30" s="21"/>
      <c r="E30" s="164"/>
      <c r="F30" s="253">
        <f t="shared" si="0"/>
        <v>14313831.793103456</v>
      </c>
      <c r="G30" s="164"/>
      <c r="AMK30"/>
    </row>
    <row r="31" spans="1:8 1025:1025" ht="15.6" x14ac:dyDescent="0.3">
      <c r="A31" s="19" t="s">
        <v>157</v>
      </c>
      <c r="B31" s="23">
        <f>'[2]KESZI 2020.12.15'!$G$107</f>
        <v>45776182</v>
      </c>
      <c r="C31" s="254">
        <v>45776182</v>
      </c>
      <c r="D31" s="21" t="s">
        <v>358</v>
      </c>
      <c r="E31" s="164"/>
      <c r="F31" s="253">
        <f t="shared" si="0"/>
        <v>0</v>
      </c>
      <c r="G31" s="164"/>
      <c r="AMK31"/>
    </row>
    <row r="32" spans="1:8 1025:1025" ht="15.6" x14ac:dyDescent="0.3">
      <c r="A32" s="19" t="s">
        <v>45</v>
      </c>
      <c r="B32" s="241" t="s">
        <v>31</v>
      </c>
      <c r="C32" s="242" t="s">
        <v>31</v>
      </c>
      <c r="D32" s="21"/>
      <c r="E32" s="164"/>
      <c r="G32" s="164"/>
      <c r="AMK32"/>
    </row>
    <row r="33" spans="1:1025" ht="15.6" x14ac:dyDescent="0.3">
      <c r="A33" s="33" t="s">
        <v>46</v>
      </c>
      <c r="B33" s="29">
        <f>B30+B31</f>
        <v>959562381.20689654</v>
      </c>
      <c r="C33" s="28">
        <f>C30+C31</f>
        <v>973876213</v>
      </c>
      <c r="D33" s="21"/>
      <c r="E33" s="164"/>
      <c r="F33" s="253">
        <f t="shared" si="0"/>
        <v>14313831.793103456</v>
      </c>
      <c r="G33" s="164"/>
      <c r="AMK33"/>
    </row>
    <row r="36" spans="1:1025" x14ac:dyDescent="0.3">
      <c r="B36" s="2" t="s">
        <v>50</v>
      </c>
    </row>
    <row r="37" spans="1:1025" ht="28.8" x14ac:dyDescent="0.3">
      <c r="A37" s="98" t="s">
        <v>350</v>
      </c>
      <c r="B37" s="256" t="s">
        <v>351</v>
      </c>
      <c r="C37" s="256" t="s">
        <v>356</v>
      </c>
      <c r="D37" s="257" t="s">
        <v>357</v>
      </c>
    </row>
    <row r="38" spans="1:1025" x14ac:dyDescent="0.3">
      <c r="A38" s="41" t="s">
        <v>51</v>
      </c>
      <c r="B38" s="96">
        <v>33578160</v>
      </c>
      <c r="C38" s="96">
        <v>33578160</v>
      </c>
      <c r="D38" s="146">
        <f>C38-B38</f>
        <v>0</v>
      </c>
      <c r="H38" s="168"/>
    </row>
    <row r="39" spans="1:1025" x14ac:dyDescent="0.3">
      <c r="A39" s="41" t="s">
        <v>52</v>
      </c>
      <c r="B39" s="96">
        <v>61818900</v>
      </c>
      <c r="C39" s="96">
        <v>61818900</v>
      </c>
      <c r="D39" s="146">
        <f t="shared" ref="D39:D54" si="1">C39-B39</f>
        <v>0</v>
      </c>
      <c r="H39" s="168"/>
    </row>
    <row r="40" spans="1:1025" x14ac:dyDescent="0.3">
      <c r="A40" s="41" t="s">
        <v>53</v>
      </c>
      <c r="B40" s="96">
        <v>14322000</v>
      </c>
      <c r="C40" s="96">
        <v>14322000</v>
      </c>
      <c r="D40" s="146">
        <f t="shared" si="1"/>
        <v>0</v>
      </c>
      <c r="H40" s="168"/>
    </row>
    <row r="41" spans="1:1025" x14ac:dyDescent="0.3">
      <c r="A41" s="42" t="s">
        <v>55</v>
      </c>
      <c r="B41" s="96">
        <v>42031440</v>
      </c>
      <c r="C41" s="96">
        <v>42031440</v>
      </c>
      <c r="D41" s="146">
        <f t="shared" si="1"/>
        <v>0</v>
      </c>
      <c r="H41" s="168"/>
    </row>
    <row r="42" spans="1:1025" x14ac:dyDescent="0.3">
      <c r="A42" s="41" t="s">
        <v>56</v>
      </c>
      <c r="B42" s="96">
        <v>20913420</v>
      </c>
      <c r="C42" s="96">
        <v>20913420</v>
      </c>
      <c r="D42" s="146">
        <f t="shared" si="1"/>
        <v>0</v>
      </c>
      <c r="H42" s="168"/>
    </row>
    <row r="43" spans="1:1025" x14ac:dyDescent="0.3">
      <c r="A43" s="41" t="s">
        <v>57</v>
      </c>
      <c r="B43" s="96">
        <v>27120885</v>
      </c>
      <c r="C43" s="96">
        <v>27120885</v>
      </c>
      <c r="D43" s="146">
        <f t="shared" si="1"/>
        <v>0</v>
      </c>
      <c r="H43" s="168"/>
    </row>
    <row r="44" spans="1:1025" x14ac:dyDescent="0.3">
      <c r="A44" s="41" t="s">
        <v>278</v>
      </c>
      <c r="B44" s="96">
        <v>121309171</v>
      </c>
      <c r="C44" s="96">
        <v>121309171</v>
      </c>
      <c r="D44" s="146">
        <f t="shared" si="1"/>
        <v>0</v>
      </c>
      <c r="H44" s="168"/>
    </row>
    <row r="45" spans="1:1025" x14ac:dyDescent="0.3">
      <c r="A45" s="42" t="s">
        <v>58</v>
      </c>
      <c r="B45" s="96">
        <v>42463000</v>
      </c>
      <c r="C45" s="96">
        <v>42463000</v>
      </c>
      <c r="D45" s="146">
        <f t="shared" si="1"/>
        <v>0</v>
      </c>
      <c r="H45" s="168"/>
    </row>
    <row r="46" spans="1:1025" ht="28.8" x14ac:dyDescent="0.3">
      <c r="A46" s="22" t="s">
        <v>182</v>
      </c>
      <c r="B46" s="251">
        <v>72862905</v>
      </c>
      <c r="C46" s="251">
        <v>72862905</v>
      </c>
      <c r="D46" s="146">
        <f t="shared" si="1"/>
        <v>0</v>
      </c>
      <c r="H46" s="168"/>
    </row>
    <row r="47" spans="1:1025" ht="28.8" x14ac:dyDescent="0.3">
      <c r="A47" s="101" t="s">
        <v>277</v>
      </c>
      <c r="B47" s="252">
        <v>32187600</v>
      </c>
      <c r="C47" s="252">
        <v>32187600</v>
      </c>
      <c r="D47" s="146">
        <f t="shared" si="1"/>
        <v>0</v>
      </c>
      <c r="H47" s="168"/>
    </row>
    <row r="48" spans="1:1025" s="136" customFormat="1" x14ac:dyDescent="0.3">
      <c r="A48" s="95" t="s">
        <v>179</v>
      </c>
      <c r="B48" s="251">
        <v>70558834</v>
      </c>
      <c r="C48" s="251">
        <v>70558834</v>
      </c>
      <c r="D48" s="146">
        <f t="shared" si="1"/>
        <v>0</v>
      </c>
      <c r="E48" s="1"/>
      <c r="F48" s="253"/>
      <c r="G48" s="1"/>
      <c r="H48" s="16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pans="1:1025" s="239" customFormat="1" x14ac:dyDescent="0.3">
      <c r="A49" s="95" t="s">
        <v>332</v>
      </c>
      <c r="B49" s="251">
        <v>2105974</v>
      </c>
      <c r="C49" s="251">
        <v>2105974</v>
      </c>
      <c r="D49" s="146">
        <f t="shared" si="1"/>
        <v>0</v>
      </c>
      <c r="E49" s="1"/>
      <c r="F49" s="253"/>
      <c r="G49" s="1"/>
      <c r="H49" s="16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pans="1:1025" s="239" customFormat="1" x14ac:dyDescent="0.3">
      <c r="A50" s="95" t="s">
        <v>355</v>
      </c>
      <c r="B50" s="251">
        <v>0</v>
      </c>
      <c r="C50" s="251">
        <v>4511901</v>
      </c>
      <c r="D50" s="146">
        <f t="shared" si="1"/>
        <v>4511901</v>
      </c>
      <c r="E50" s="1"/>
      <c r="F50" s="253"/>
      <c r="G50" s="1"/>
      <c r="H50" s="16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</row>
    <row r="51" spans="1:1025" s="239" customFormat="1" x14ac:dyDescent="0.3">
      <c r="A51" s="95" t="s">
        <v>352</v>
      </c>
      <c r="B51" s="251">
        <v>0</v>
      </c>
      <c r="C51" s="251">
        <v>39747960</v>
      </c>
      <c r="D51" s="146">
        <f t="shared" si="1"/>
        <v>39747960</v>
      </c>
      <c r="E51" s="1"/>
      <c r="F51" s="253"/>
      <c r="G51" s="1"/>
      <c r="H51" s="16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</row>
    <row r="52" spans="1:1025" s="239" customFormat="1" x14ac:dyDescent="0.3">
      <c r="A52" s="95" t="s">
        <v>353</v>
      </c>
      <c r="B52" s="251">
        <v>0</v>
      </c>
      <c r="C52" s="251">
        <v>597444</v>
      </c>
      <c r="D52" s="146">
        <f t="shared" si="1"/>
        <v>597444</v>
      </c>
      <c r="E52" s="1"/>
      <c r="F52" s="253"/>
      <c r="G52" s="1"/>
      <c r="H52" s="16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</row>
    <row r="53" spans="1:1025" s="231" customFormat="1" x14ac:dyDescent="0.3">
      <c r="A53" s="255" t="s">
        <v>354</v>
      </c>
      <c r="B53" s="251">
        <v>0</v>
      </c>
      <c r="C53" s="251">
        <f>3996056+1945944</f>
        <v>5942000</v>
      </c>
      <c r="D53" s="146">
        <f t="shared" si="1"/>
        <v>5942000</v>
      </c>
      <c r="E53" s="1"/>
      <c r="F53" s="253"/>
      <c r="G53" s="1"/>
      <c r="H53" s="16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</row>
    <row r="54" spans="1:1025" x14ac:dyDescent="0.3">
      <c r="A54" s="143" t="s">
        <v>73</v>
      </c>
      <c r="B54" s="259">
        <f>SUM(B38:B53)</f>
        <v>541272289</v>
      </c>
      <c r="C54" s="259">
        <f>SUM(C38:C53)</f>
        <v>592071594</v>
      </c>
      <c r="D54" s="258">
        <f t="shared" si="1"/>
        <v>50799305</v>
      </c>
      <c r="H54" s="168"/>
    </row>
    <row r="55" spans="1:1025" s="145" customFormat="1" x14ac:dyDescent="0.3">
      <c r="A55" s="1" t="s">
        <v>279</v>
      </c>
      <c r="B55" s="43"/>
      <c r="C55" s="43"/>
      <c r="D55" s="43"/>
      <c r="E55" s="1"/>
      <c r="F55" s="253"/>
      <c r="G55" s="1"/>
      <c r="H55" s="16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</row>
    <row r="56" spans="1:1025" x14ac:dyDescent="0.3">
      <c r="A56" s="1" t="s">
        <v>269</v>
      </c>
    </row>
    <row r="57" spans="1:1025" s="145" customFormat="1" x14ac:dyDescent="0.3">
      <c r="A57" s="1"/>
      <c r="B57" s="1"/>
      <c r="C57" s="137"/>
      <c r="D57" s="1"/>
      <c r="E57" s="1"/>
      <c r="F57" s="253"/>
      <c r="G57" s="1"/>
      <c r="H57" s="16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</row>
    <row r="58" spans="1:1025" s="147" customFormat="1" x14ac:dyDescent="0.3">
      <c r="A58" s="1"/>
      <c r="B58" s="253">
        <f>B54-B46-B48-B49</f>
        <v>395744576</v>
      </c>
      <c r="C58" s="253">
        <f>C54-C53-C49-C48-C46</f>
        <v>440601881</v>
      </c>
      <c r="D58" s="1"/>
      <c r="E58" s="1"/>
      <c r="F58" s="253"/>
      <c r="G58" s="1"/>
      <c r="H58" s="16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59" spans="1:1025" x14ac:dyDescent="0.3">
      <c r="A59" s="1" t="s">
        <v>345</v>
      </c>
      <c r="B59" s="253">
        <f>B58-B47</f>
        <v>363556976</v>
      </c>
      <c r="C59" s="253"/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scale="67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0"/>
  <sheetViews>
    <sheetView topLeftCell="A10" zoomScaleNormal="100" workbookViewId="0">
      <selection activeCell="F12" sqref="F12:H32"/>
    </sheetView>
  </sheetViews>
  <sheetFormatPr defaultRowHeight="14.4" x14ac:dyDescent="0.3"/>
  <cols>
    <col min="1" max="1" width="53.59765625" style="1" customWidth="1"/>
    <col min="2" max="2" width="13.8984375" style="1" customWidth="1"/>
    <col min="3" max="3" width="16.09765625" style="137" customWidth="1"/>
    <col min="4" max="4" width="15" style="1" customWidth="1"/>
    <col min="5" max="5" width="8.69921875" style="1" customWidth="1"/>
    <col min="6" max="6" width="11.09765625" style="260" bestFit="1" customWidth="1"/>
    <col min="7" max="7" width="8.69921875" style="164" customWidth="1"/>
    <col min="8" max="8" width="10.8984375" style="1" bestFit="1" customWidth="1"/>
    <col min="9" max="1025" width="8.69921875" style="1" customWidth="1"/>
    <col min="1026" max="1026" width="9" customWidth="1"/>
  </cols>
  <sheetData>
    <row r="1" spans="1:8 1025:1025" x14ac:dyDescent="0.3">
      <c r="B1" s="265" t="s">
        <v>323</v>
      </c>
      <c r="C1" s="265"/>
      <c r="D1" s="127"/>
    </row>
    <row r="2" spans="1:8 1025:1025" x14ac:dyDescent="0.3">
      <c r="B2" s="2"/>
    </row>
    <row r="3" spans="1:8 1025:1025" x14ac:dyDescent="0.3">
      <c r="A3" s="265" t="s">
        <v>0</v>
      </c>
      <c r="B3" s="265"/>
      <c r="C3" s="265"/>
      <c r="D3" s="127"/>
    </row>
    <row r="4" spans="1:8 1025:1025" x14ac:dyDescent="0.3">
      <c r="A4" s="265" t="s">
        <v>359</v>
      </c>
      <c r="B4" s="265"/>
      <c r="C4" s="265"/>
      <c r="D4" s="127"/>
    </row>
    <row r="5" spans="1:8 1025:1025" ht="15.6" x14ac:dyDescent="0.3">
      <c r="A5" s="269" t="s">
        <v>11</v>
      </c>
      <c r="B5" s="269"/>
      <c r="C5" s="269"/>
      <c r="D5" s="129"/>
    </row>
    <row r="6" spans="1:8 1025:1025" ht="15.6" x14ac:dyDescent="0.3">
      <c r="A6" s="269" t="s">
        <v>167</v>
      </c>
      <c r="B6" s="269"/>
      <c r="C6" s="269"/>
      <c r="D6" s="129"/>
    </row>
    <row r="8" spans="1:8 1025:1025" ht="15.6" x14ac:dyDescent="0.3">
      <c r="B8" s="12"/>
      <c r="C8" s="244" t="s">
        <v>47</v>
      </c>
      <c r="D8" s="129"/>
    </row>
    <row r="9" spans="1:8 1025:1025" ht="15.75" customHeight="1" x14ac:dyDescent="0.3">
      <c r="A9" s="272" t="s">
        <v>164</v>
      </c>
      <c r="B9" s="272"/>
      <c r="C9" s="272"/>
      <c r="D9" s="131"/>
    </row>
    <row r="10" spans="1:8 1025:1025" ht="15.6" x14ac:dyDescent="0.3">
      <c r="A10" s="14" t="s">
        <v>5</v>
      </c>
      <c r="B10" s="38" t="s">
        <v>14</v>
      </c>
      <c r="C10" s="246" t="s">
        <v>342</v>
      </c>
      <c r="D10" s="15" t="s">
        <v>15</v>
      </c>
      <c r="G10" s="1"/>
      <c r="AMK10"/>
    </row>
    <row r="11" spans="1:8 1025:1025" ht="31.2" x14ac:dyDescent="0.3">
      <c r="A11" s="16"/>
      <c r="B11" s="39" t="s">
        <v>346</v>
      </c>
      <c r="C11" s="247" t="s">
        <v>343</v>
      </c>
      <c r="D11" s="18" t="s">
        <v>280</v>
      </c>
      <c r="G11" s="1"/>
      <c r="AMK11"/>
    </row>
    <row r="12" spans="1:8 1025:1025" ht="15.6" x14ac:dyDescent="0.3">
      <c r="A12" s="19" t="s">
        <v>16</v>
      </c>
      <c r="B12" s="20">
        <v>246985250</v>
      </c>
      <c r="C12" s="254">
        <v>248080250</v>
      </c>
      <c r="D12" s="21" t="s">
        <v>17</v>
      </c>
      <c r="F12" s="253">
        <f>C12-B12</f>
        <v>1095000</v>
      </c>
      <c r="H12" s="164"/>
      <c r="AMK12"/>
    </row>
    <row r="13" spans="1:8 1025:1025" ht="15.6" x14ac:dyDescent="0.3">
      <c r="A13" s="19" t="s">
        <v>18</v>
      </c>
      <c r="B13" s="20">
        <v>41561500</v>
      </c>
      <c r="C13" s="254">
        <v>41893816</v>
      </c>
      <c r="D13" s="21" t="s">
        <v>19</v>
      </c>
      <c r="F13" s="253">
        <f t="shared" ref="F13:F32" si="0">C13-B13</f>
        <v>332316</v>
      </c>
      <c r="H13" s="164"/>
      <c r="AMK13"/>
    </row>
    <row r="14" spans="1:8 1025:1025" ht="15.6" x14ac:dyDescent="0.3">
      <c r="A14" s="19" t="s">
        <v>20</v>
      </c>
      <c r="B14" s="20">
        <v>36170000</v>
      </c>
      <c r="C14" s="254">
        <v>37471930</v>
      </c>
      <c r="D14" s="21" t="s">
        <v>21</v>
      </c>
      <c r="F14" s="253">
        <f t="shared" si="0"/>
        <v>1301930</v>
      </c>
      <c r="H14" s="164"/>
      <c r="AMK14"/>
    </row>
    <row r="15" spans="1:8 1025:1025" ht="15.6" x14ac:dyDescent="0.3">
      <c r="A15" s="19" t="s">
        <v>349</v>
      </c>
      <c r="B15" s="20">
        <v>450000</v>
      </c>
      <c r="C15" s="254">
        <v>450000</v>
      </c>
      <c r="D15" s="21" t="s">
        <v>23</v>
      </c>
      <c r="F15" s="253">
        <f t="shared" si="0"/>
        <v>0</v>
      </c>
      <c r="H15" s="164"/>
      <c r="AMK15"/>
    </row>
    <row r="16" spans="1:8 1025:1025" ht="15.6" x14ac:dyDescent="0.3">
      <c r="A16" s="139" t="s">
        <v>360</v>
      </c>
      <c r="B16" s="20">
        <v>3329438</v>
      </c>
      <c r="C16" s="254">
        <v>3329438</v>
      </c>
      <c r="D16" s="22" t="s">
        <v>25</v>
      </c>
      <c r="F16" s="253">
        <f t="shared" si="0"/>
        <v>0</v>
      </c>
      <c r="H16" s="164"/>
      <c r="AMK16"/>
    </row>
    <row r="17" spans="1:8 1025:1025" ht="15.6" x14ac:dyDescent="0.3">
      <c r="A17" s="19" t="s">
        <v>26</v>
      </c>
      <c r="B17" s="20">
        <v>0</v>
      </c>
      <c r="C17" s="20">
        <v>0</v>
      </c>
      <c r="D17" s="21" t="s">
        <v>27</v>
      </c>
      <c r="F17" s="253">
        <f t="shared" si="0"/>
        <v>0</v>
      </c>
      <c r="H17" s="164"/>
      <c r="AMK17"/>
    </row>
    <row r="18" spans="1:8 1025:1025" ht="15.6" x14ac:dyDescent="0.3">
      <c r="A18" s="24" t="s">
        <v>28</v>
      </c>
      <c r="B18" s="25">
        <f>SUM(B12:B17)</f>
        <v>328496188</v>
      </c>
      <c r="C18" s="25">
        <f>SUM(C12:C17)</f>
        <v>331225434</v>
      </c>
      <c r="D18" s="21"/>
      <c r="F18" s="253">
        <f t="shared" si="0"/>
        <v>2729246</v>
      </c>
      <c r="H18" s="164"/>
      <c r="AMK18"/>
    </row>
    <row r="19" spans="1:8 1025:1025" ht="15.6" x14ac:dyDescent="0.3">
      <c r="A19" s="19" t="s">
        <v>30</v>
      </c>
      <c r="B19" s="242" t="s">
        <v>31</v>
      </c>
      <c r="C19" s="242" t="s">
        <v>31</v>
      </c>
      <c r="D19" s="21"/>
      <c r="F19" s="253"/>
      <c r="H19" s="164"/>
      <c r="AMK19"/>
    </row>
    <row r="20" spans="1:8 1025:1025" ht="15.6" x14ac:dyDescent="0.3">
      <c r="A20" s="31" t="s">
        <v>32</v>
      </c>
      <c r="B20" s="28">
        <f>B18</f>
        <v>328496188</v>
      </c>
      <c r="C20" s="28">
        <f>C18</f>
        <v>331225434</v>
      </c>
      <c r="D20" s="21"/>
      <c r="F20" s="253">
        <f t="shared" si="0"/>
        <v>2729246</v>
      </c>
      <c r="H20" s="164"/>
      <c r="AMK20"/>
    </row>
    <row r="21" spans="1:8 1025:1025" ht="15.6" x14ac:dyDescent="0.3">
      <c r="A21" s="32"/>
      <c r="B21" s="30"/>
      <c r="C21" s="250"/>
      <c r="F21" s="253">
        <f t="shared" si="0"/>
        <v>0</v>
      </c>
      <c r="H21" s="164"/>
      <c r="AMK21"/>
    </row>
    <row r="22" spans="1:8 1025:1025" ht="15.6" x14ac:dyDescent="0.3">
      <c r="A22" s="19" t="s">
        <v>33</v>
      </c>
      <c r="B22" s="23">
        <v>2000000</v>
      </c>
      <c r="C22" s="243">
        <v>2000000</v>
      </c>
      <c r="D22" s="21" t="s">
        <v>34</v>
      </c>
      <c r="F22" s="253">
        <f t="shared" si="0"/>
        <v>0</v>
      </c>
      <c r="H22" s="164"/>
      <c r="AMK22"/>
    </row>
    <row r="23" spans="1:8 1025:1025" ht="28.8" x14ac:dyDescent="0.3">
      <c r="A23" s="19" t="s">
        <v>36</v>
      </c>
      <c r="B23" s="20">
        <v>0</v>
      </c>
      <c r="C23" s="20">
        <v>0</v>
      </c>
      <c r="D23" s="22" t="s">
        <v>37</v>
      </c>
      <c r="F23" s="253">
        <f t="shared" si="0"/>
        <v>0</v>
      </c>
      <c r="H23" s="164"/>
      <c r="AMK23"/>
    </row>
    <row r="24" spans="1:8 1025:1025" ht="15.6" x14ac:dyDescent="0.3">
      <c r="A24" s="19" t="s">
        <v>38</v>
      </c>
      <c r="B24" s="20">
        <v>0</v>
      </c>
      <c r="C24" s="20">
        <v>0</v>
      </c>
      <c r="D24" s="21"/>
      <c r="F24" s="253">
        <f t="shared" si="0"/>
        <v>0</v>
      </c>
      <c r="H24" s="164"/>
      <c r="AMK24"/>
    </row>
    <row r="25" spans="1:8 1025:1025" ht="15.6" x14ac:dyDescent="0.3">
      <c r="A25" s="19" t="s">
        <v>39</v>
      </c>
      <c r="B25" s="20">
        <v>54460000</v>
      </c>
      <c r="C25" s="243">
        <v>29725952</v>
      </c>
      <c r="D25" s="21" t="s">
        <v>48</v>
      </c>
      <c r="F25" s="253">
        <f t="shared" si="0"/>
        <v>-24734048</v>
      </c>
      <c r="H25" s="253">
        <f>26198549-1464501</f>
        <v>24734048</v>
      </c>
      <c r="AMK25"/>
    </row>
    <row r="26" spans="1:8 1025:1025" ht="15.6" x14ac:dyDescent="0.3">
      <c r="A26" s="19" t="s">
        <v>281</v>
      </c>
      <c r="B26" s="20">
        <v>52860000</v>
      </c>
      <c r="C26" s="243">
        <f>29725952-1464501</f>
        <v>28261451</v>
      </c>
      <c r="D26" s="21"/>
      <c r="F26" s="253">
        <f t="shared" si="0"/>
        <v>-24598549</v>
      </c>
      <c r="H26" s="164"/>
      <c r="AMK26"/>
    </row>
    <row r="27" spans="1:8 1025:1025" ht="15.6" x14ac:dyDescent="0.3">
      <c r="A27" s="19" t="s">
        <v>59</v>
      </c>
      <c r="B27" s="20">
        <v>266519305</v>
      </c>
      <c r="C27" s="243">
        <v>293982579</v>
      </c>
      <c r="D27" s="21" t="s">
        <v>40</v>
      </c>
      <c r="F27" s="253">
        <f t="shared" si="0"/>
        <v>27463274</v>
      </c>
      <c r="H27" s="164"/>
      <c r="AMK27"/>
    </row>
    <row r="28" spans="1:8 1025:1025" ht="15.6" x14ac:dyDescent="0.3">
      <c r="A28" s="19" t="s">
        <v>42</v>
      </c>
      <c r="B28" s="20">
        <v>0</v>
      </c>
      <c r="C28" s="20">
        <v>0</v>
      </c>
      <c r="D28" s="21" t="s">
        <v>43</v>
      </c>
      <c r="F28" s="253">
        <f t="shared" si="0"/>
        <v>0</v>
      </c>
      <c r="H28" s="164"/>
      <c r="AMK28"/>
    </row>
    <row r="29" spans="1:8 1025:1025" ht="15.6" x14ac:dyDescent="0.3">
      <c r="A29" s="24" t="s">
        <v>44</v>
      </c>
      <c r="B29" s="25">
        <f>SUM(B28,B27,B25,B22)</f>
        <v>322979305</v>
      </c>
      <c r="C29" s="25">
        <f>SUM(C28,C27,C25,C22)</f>
        <v>325708531</v>
      </c>
      <c r="D29" s="21"/>
      <c r="F29" s="253">
        <f t="shared" si="0"/>
        <v>2729226</v>
      </c>
      <c r="H29" s="164"/>
      <c r="AMK29"/>
    </row>
    <row r="30" spans="1:8 1025:1025" ht="15.6" x14ac:dyDescent="0.3">
      <c r="A30" s="19" t="s">
        <v>156</v>
      </c>
      <c r="B30" s="20">
        <v>5516883</v>
      </c>
      <c r="C30" s="254">
        <v>5516903</v>
      </c>
      <c r="D30" s="21"/>
      <c r="F30" s="253">
        <f t="shared" si="0"/>
        <v>20</v>
      </c>
      <c r="H30" s="164"/>
      <c r="AMK30"/>
    </row>
    <row r="31" spans="1:8 1025:1025" ht="15.6" x14ac:dyDescent="0.3">
      <c r="A31" s="19" t="s">
        <v>45</v>
      </c>
      <c r="B31" s="242" t="s">
        <v>31</v>
      </c>
      <c r="C31" s="242" t="s">
        <v>31</v>
      </c>
      <c r="D31" s="21"/>
      <c r="F31" s="253"/>
      <c r="H31" s="164"/>
      <c r="AMK31"/>
    </row>
    <row r="32" spans="1:8 1025:1025" ht="15.6" x14ac:dyDescent="0.3">
      <c r="A32" s="33" t="s">
        <v>46</v>
      </c>
      <c r="B32" s="28">
        <f>SUM(B29+B30)</f>
        <v>328496188</v>
      </c>
      <c r="C32" s="28">
        <f>SUM(C29+C30)</f>
        <v>331225434</v>
      </c>
      <c r="D32" s="21"/>
      <c r="F32" s="253">
        <f t="shared" si="0"/>
        <v>2729246</v>
      </c>
      <c r="H32" s="164"/>
      <c r="AMK32"/>
    </row>
    <row r="34" spans="1:1025" x14ac:dyDescent="0.3">
      <c r="B34" s="2" t="s">
        <v>50</v>
      </c>
    </row>
    <row r="35" spans="1:1025" s="94" customFormat="1" ht="28.8" x14ac:dyDescent="0.3">
      <c r="A35" s="98" t="s">
        <v>361</v>
      </c>
      <c r="B35" s="256" t="s">
        <v>362</v>
      </c>
      <c r="C35" s="256" t="s">
        <v>356</v>
      </c>
      <c r="D35" s="257" t="s">
        <v>357</v>
      </c>
      <c r="E35" s="1"/>
      <c r="F35" s="260"/>
      <c r="G35" s="16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3">
      <c r="A36" s="44" t="s">
        <v>60</v>
      </c>
      <c r="B36" s="270">
        <v>108535000</v>
      </c>
      <c r="C36" s="273">
        <v>108535000</v>
      </c>
      <c r="D36" s="270">
        <f>C36-B36</f>
        <v>0</v>
      </c>
    </row>
    <row r="37" spans="1:1025" x14ac:dyDescent="0.3">
      <c r="A37" s="44" t="s">
        <v>61</v>
      </c>
      <c r="B37" s="271"/>
      <c r="C37" s="274"/>
      <c r="D37" s="271"/>
      <c r="G37" s="164">
        <f>B36+B38+B41</f>
        <v>160711301</v>
      </c>
    </row>
    <row r="38" spans="1:1025" s="125" customFormat="1" x14ac:dyDescent="0.3">
      <c r="A38" s="44" t="s">
        <v>158</v>
      </c>
      <c r="B38" s="238">
        <v>14180109</v>
      </c>
      <c r="C38" s="238">
        <v>14180109</v>
      </c>
      <c r="D38" s="96">
        <f>C38-B38</f>
        <v>0</v>
      </c>
      <c r="E38" s="1"/>
      <c r="F38" s="260"/>
      <c r="G38" s="16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ht="28.8" x14ac:dyDescent="0.3">
      <c r="A39" s="22" t="s">
        <v>182</v>
      </c>
      <c r="B39" s="96">
        <v>71143115</v>
      </c>
      <c r="C39" s="96">
        <v>71143115</v>
      </c>
      <c r="D39" s="96">
        <f t="shared" ref="D39:D44" si="1">C39-B39</f>
        <v>0</v>
      </c>
    </row>
    <row r="40" spans="1:1025" x14ac:dyDescent="0.3">
      <c r="A40" s="97" t="s">
        <v>180</v>
      </c>
      <c r="B40" s="237">
        <v>33852326</v>
      </c>
      <c r="C40" s="237">
        <v>33852326</v>
      </c>
      <c r="D40" s="96">
        <f t="shared" si="1"/>
        <v>0</v>
      </c>
    </row>
    <row r="41" spans="1:1025" s="136" customFormat="1" x14ac:dyDescent="0.3">
      <c r="A41" s="95" t="s">
        <v>258</v>
      </c>
      <c r="B41" s="96">
        <v>37996192</v>
      </c>
      <c r="C41" s="96">
        <v>37996192</v>
      </c>
      <c r="D41" s="96">
        <f t="shared" si="1"/>
        <v>0</v>
      </c>
      <c r="E41" s="1"/>
      <c r="F41" s="260"/>
      <c r="G41" s="16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pans="1:1025" s="239" customFormat="1" x14ac:dyDescent="0.3">
      <c r="A42" s="95" t="s">
        <v>332</v>
      </c>
      <c r="B42" s="96">
        <v>812563</v>
      </c>
      <c r="C42" s="96">
        <v>812563</v>
      </c>
      <c r="D42" s="96">
        <f t="shared" si="1"/>
        <v>0</v>
      </c>
      <c r="E42" s="1"/>
      <c r="F42" s="260"/>
      <c r="G42" s="16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</row>
    <row r="43" spans="1:1025" s="239" customFormat="1" x14ac:dyDescent="0.3">
      <c r="A43" s="95" t="s">
        <v>352</v>
      </c>
      <c r="B43" s="96">
        <v>0</v>
      </c>
      <c r="C43" s="96">
        <v>26198549</v>
      </c>
      <c r="D43" s="96">
        <f t="shared" si="1"/>
        <v>26198549</v>
      </c>
      <c r="E43" s="1"/>
      <c r="F43" s="260"/>
      <c r="G43" s="16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</row>
    <row r="44" spans="1:1025" s="239" customFormat="1" x14ac:dyDescent="0.3">
      <c r="A44" s="95" t="s">
        <v>363</v>
      </c>
      <c r="B44" s="96">
        <v>0</v>
      </c>
      <c r="C44" s="96">
        <v>1264725</v>
      </c>
      <c r="D44" s="96">
        <f t="shared" si="1"/>
        <v>1264725</v>
      </c>
      <c r="E44" s="1"/>
      <c r="F44" s="260"/>
      <c r="G44" s="16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</row>
    <row r="45" spans="1:1025" x14ac:dyDescent="0.3">
      <c r="A45" s="143" t="s">
        <v>62</v>
      </c>
      <c r="B45" s="259">
        <f>SUM(B36:B44)</f>
        <v>266519305</v>
      </c>
      <c r="C45" s="259">
        <f>SUM(C36:C44)</f>
        <v>293982579</v>
      </c>
      <c r="D45" s="261">
        <f>SUM(D36:D44)</f>
        <v>27463274</v>
      </c>
    </row>
    <row r="46" spans="1:1025" s="145" customFormat="1" x14ac:dyDescent="0.3">
      <c r="A46" s="1" t="s">
        <v>234</v>
      </c>
      <c r="B46" s="43"/>
      <c r="C46" s="43"/>
      <c r="D46" s="43"/>
      <c r="E46" s="1"/>
      <c r="F46" s="260"/>
      <c r="G46" s="16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</row>
    <row r="47" spans="1:1025" s="147" customFormat="1" x14ac:dyDescent="0.3">
      <c r="A47" s="1"/>
      <c r="B47" s="43"/>
      <c r="C47" s="43"/>
      <c r="D47" s="43"/>
      <c r="E47" s="1"/>
      <c r="F47" s="260"/>
      <c r="G47" s="16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x14ac:dyDescent="0.3">
      <c r="B48" s="137">
        <f>B45-B39-B40-B42</f>
        <v>160711301</v>
      </c>
      <c r="C48" s="137">
        <f>C45-C44-C43-C42-C40-C39</f>
        <v>160711301</v>
      </c>
    </row>
    <row r="49" spans="1:1025" s="145" customFormat="1" x14ac:dyDescent="0.3">
      <c r="A49" s="1"/>
      <c r="B49" s="1"/>
      <c r="C49" s="137"/>
      <c r="D49" s="1"/>
      <c r="E49" s="1"/>
      <c r="F49" s="260"/>
      <c r="G49" s="16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pans="1:1025" x14ac:dyDescent="0.3">
      <c r="A50" s="1" t="s">
        <v>345</v>
      </c>
    </row>
  </sheetData>
  <mergeCells count="9">
    <mergeCell ref="D36:D37"/>
    <mergeCell ref="B36:B37"/>
    <mergeCell ref="A9:C9"/>
    <mergeCell ref="B1:C1"/>
    <mergeCell ref="A3:C3"/>
    <mergeCell ref="A4:C4"/>
    <mergeCell ref="A5:C5"/>
    <mergeCell ref="A6:C6"/>
    <mergeCell ref="C36:C37"/>
  </mergeCells>
  <pageMargins left="0.70000000000000007" right="0.70000000000000007" top="1.1437007874015752" bottom="1.1437007874015752" header="0.75000000000000011" footer="0.75000000000000011"/>
  <pageSetup paperSize="9" scale="75" fitToWidth="0" fitToHeight="0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topLeftCell="A7" zoomScaleNormal="100" workbookViewId="0">
      <selection activeCell="B2" sqref="B2"/>
    </sheetView>
  </sheetViews>
  <sheetFormatPr defaultRowHeight="14.4" x14ac:dyDescent="0.3"/>
  <cols>
    <col min="1" max="1" width="59.09765625" style="1" customWidth="1"/>
    <col min="2" max="3" width="18.19921875" style="1" customWidth="1"/>
    <col min="4" max="5" width="8.69921875" style="1" customWidth="1"/>
    <col min="6" max="6" width="10.8984375" style="137" bestFit="1" customWidth="1"/>
    <col min="7" max="1024" width="8.69921875" style="1" customWidth="1"/>
    <col min="1025" max="1025" width="9" customWidth="1"/>
  </cols>
  <sheetData>
    <row r="1" spans="1:6" x14ac:dyDescent="0.3">
      <c r="B1" s="265" t="s">
        <v>324</v>
      </c>
      <c r="C1" s="265"/>
    </row>
    <row r="3" spans="1:6" x14ac:dyDescent="0.3">
      <c r="A3" s="265" t="s">
        <v>0</v>
      </c>
      <c r="B3" s="265"/>
      <c r="C3" s="235"/>
    </row>
    <row r="4" spans="1:6" x14ac:dyDescent="0.3">
      <c r="A4" s="265" t="s">
        <v>359</v>
      </c>
      <c r="B4" s="265"/>
      <c r="C4" s="235"/>
    </row>
    <row r="5" spans="1:6" ht="15.6" x14ac:dyDescent="0.3">
      <c r="A5" s="269" t="s">
        <v>11</v>
      </c>
      <c r="B5" s="269"/>
      <c r="C5" s="236"/>
    </row>
    <row r="6" spans="1:6" ht="15.6" x14ac:dyDescent="0.3">
      <c r="A6" s="269" t="s">
        <v>167</v>
      </c>
      <c r="B6" s="269"/>
      <c r="C6" s="236"/>
    </row>
    <row r="8" spans="1:6" ht="15.6" x14ac:dyDescent="0.3">
      <c r="B8" s="45"/>
      <c r="C8" s="45" t="s">
        <v>50</v>
      </c>
    </row>
    <row r="9" spans="1:6" ht="15.75" customHeight="1" x14ac:dyDescent="0.3">
      <c r="A9" s="272" t="s">
        <v>7</v>
      </c>
      <c r="B9" s="272"/>
      <c r="C9" s="240"/>
    </row>
    <row r="10" spans="1:6" ht="15.6" x14ac:dyDescent="0.3">
      <c r="A10" s="14" t="s">
        <v>5</v>
      </c>
      <c r="B10" s="38" t="s">
        <v>14</v>
      </c>
      <c r="C10" s="38" t="s">
        <v>342</v>
      </c>
      <c r="D10" s="15" t="s">
        <v>15</v>
      </c>
    </row>
    <row r="11" spans="1:6" ht="31.2" x14ac:dyDescent="0.3">
      <c r="A11" s="16"/>
      <c r="B11" s="39" t="s">
        <v>344</v>
      </c>
      <c r="C11" s="39" t="s">
        <v>343</v>
      </c>
      <c r="D11" s="18" t="s">
        <v>280</v>
      </c>
    </row>
    <row r="12" spans="1:6" ht="15.6" x14ac:dyDescent="0.3">
      <c r="A12" s="19" t="s">
        <v>16</v>
      </c>
      <c r="B12" s="23">
        <f>[1]Társulás!$G$19</f>
        <v>500000</v>
      </c>
      <c r="C12" s="20">
        <v>500000</v>
      </c>
      <c r="D12" s="21" t="s">
        <v>17</v>
      </c>
      <c r="E12" s="1" t="s">
        <v>63</v>
      </c>
      <c r="F12" s="137">
        <f>C12-B12</f>
        <v>0</v>
      </c>
    </row>
    <row r="13" spans="1:6" ht="15.6" x14ac:dyDescent="0.3">
      <c r="A13" s="19" t="s">
        <v>18</v>
      </c>
      <c r="B13" s="23">
        <f>[1]Társulás!$G$24</f>
        <v>179950</v>
      </c>
      <c r="C13" s="20">
        <v>179950</v>
      </c>
      <c r="D13" s="21" t="s">
        <v>19</v>
      </c>
      <c r="E13" s="1" t="s">
        <v>63</v>
      </c>
      <c r="F13" s="137">
        <f t="shared" ref="F13:F35" si="0">C13-B13</f>
        <v>0</v>
      </c>
    </row>
    <row r="14" spans="1:6" ht="15.6" x14ac:dyDescent="0.3">
      <c r="A14" s="19" t="s">
        <v>20</v>
      </c>
      <c r="B14" s="23">
        <f>[1]Társulás!$G$38</f>
        <v>3864370</v>
      </c>
      <c r="C14" s="20">
        <v>3864370</v>
      </c>
      <c r="D14" s="21" t="s">
        <v>21</v>
      </c>
      <c r="E14" s="1" t="s">
        <v>63</v>
      </c>
      <c r="F14" s="137">
        <f t="shared" si="0"/>
        <v>0</v>
      </c>
    </row>
    <row r="15" spans="1:6" ht="15.6" x14ac:dyDescent="0.3">
      <c r="A15" s="19" t="s">
        <v>22</v>
      </c>
      <c r="B15" s="23">
        <f>[1]Társulás!$G$40+[1]Társulás!$G$41+[1]Társulás!$G$42+[1]Társulás!$G$43+[1]Társulás!$G$44+[1]Társulás!$G$45</f>
        <v>7557000</v>
      </c>
      <c r="C15" s="20">
        <f>4817000+2740000</f>
        <v>7557000</v>
      </c>
      <c r="D15" s="21" t="s">
        <v>138</v>
      </c>
      <c r="F15" s="137">
        <f t="shared" si="0"/>
        <v>0</v>
      </c>
    </row>
    <row r="16" spans="1:6" ht="15.6" x14ac:dyDescent="0.3">
      <c r="A16" s="19" t="s">
        <v>64</v>
      </c>
      <c r="B16" s="23">
        <f>[2]Társulás!$G$69</f>
        <v>807791594</v>
      </c>
      <c r="C16" s="20">
        <v>886054173</v>
      </c>
      <c r="D16" s="22" t="s">
        <v>65</v>
      </c>
      <c r="F16" s="137">
        <f t="shared" si="0"/>
        <v>78262579</v>
      </c>
    </row>
    <row r="17" spans="1:6" ht="28.8" x14ac:dyDescent="0.3">
      <c r="A17" s="19" t="s">
        <v>24</v>
      </c>
      <c r="B17" s="23">
        <f>[1]Társulás!$G$68</f>
        <v>9389000</v>
      </c>
      <c r="C17" s="20">
        <v>9389000</v>
      </c>
      <c r="D17" s="22" t="s">
        <v>25</v>
      </c>
      <c r="F17" s="137">
        <f t="shared" si="0"/>
        <v>0</v>
      </c>
    </row>
    <row r="18" spans="1:6" ht="15.6" x14ac:dyDescent="0.3">
      <c r="A18" s="19" t="s">
        <v>26</v>
      </c>
      <c r="B18" s="23">
        <v>0</v>
      </c>
      <c r="C18" s="20">
        <v>0</v>
      </c>
      <c r="D18" s="21" t="s">
        <v>27</v>
      </c>
      <c r="F18" s="137">
        <f t="shared" si="0"/>
        <v>0</v>
      </c>
    </row>
    <row r="19" spans="1:6" ht="15.6" x14ac:dyDescent="0.3">
      <c r="A19" s="24" t="s">
        <v>28</v>
      </c>
      <c r="B19" s="26">
        <f>SUM(B12:B18)</f>
        <v>829281914</v>
      </c>
      <c r="C19" s="25">
        <f>SUM(C12:C18)</f>
        <v>907544493</v>
      </c>
      <c r="D19" s="21"/>
      <c r="F19" s="137">
        <f t="shared" si="0"/>
        <v>78262579</v>
      </c>
    </row>
    <row r="20" spans="1:6" ht="15.6" x14ac:dyDescent="0.3">
      <c r="A20" s="19" t="s">
        <v>29</v>
      </c>
      <c r="B20" s="23">
        <f>[2]Társulás!$G$47</f>
        <v>218143651.75</v>
      </c>
      <c r="C20" s="20">
        <v>210936927</v>
      </c>
      <c r="D20" s="21" t="s">
        <v>139</v>
      </c>
      <c r="F20" s="137">
        <f t="shared" si="0"/>
        <v>-7206724.75</v>
      </c>
    </row>
    <row r="21" spans="1:6" ht="15.6" x14ac:dyDescent="0.3">
      <c r="A21" s="19" t="s">
        <v>30</v>
      </c>
      <c r="B21" s="241" t="s">
        <v>31</v>
      </c>
      <c r="C21" s="241" t="s">
        <v>31</v>
      </c>
      <c r="D21" s="21"/>
    </row>
    <row r="22" spans="1:6" ht="15.6" x14ac:dyDescent="0.3">
      <c r="A22" s="31" t="s">
        <v>32</v>
      </c>
      <c r="B22" s="29">
        <f>SUM(B19+B20)</f>
        <v>1047425565.75</v>
      </c>
      <c r="C22" s="28">
        <f>C19+C20</f>
        <v>1118481420</v>
      </c>
      <c r="D22" s="21"/>
      <c r="F22" s="137">
        <f t="shared" si="0"/>
        <v>71055854.25</v>
      </c>
    </row>
    <row r="23" spans="1:6" ht="15.6" x14ac:dyDescent="0.3">
      <c r="A23" s="32"/>
      <c r="B23" s="30"/>
      <c r="C23" s="30"/>
      <c r="D23" s="46"/>
      <c r="F23" s="137">
        <f t="shared" si="0"/>
        <v>0</v>
      </c>
    </row>
    <row r="24" spans="1:6" ht="15.6" x14ac:dyDescent="0.3">
      <c r="A24" s="19" t="s">
        <v>33</v>
      </c>
      <c r="B24" s="23">
        <f>[3]Társulás!$H$81</f>
        <v>0</v>
      </c>
      <c r="C24" s="23">
        <v>0</v>
      </c>
      <c r="D24" s="21" t="s">
        <v>34</v>
      </c>
      <c r="F24" s="137">
        <f t="shared" si="0"/>
        <v>0</v>
      </c>
    </row>
    <row r="25" spans="1:6" ht="15.6" x14ac:dyDescent="0.3">
      <c r="A25" s="19" t="s">
        <v>35</v>
      </c>
      <c r="B25" s="23">
        <v>0</v>
      </c>
      <c r="C25" s="23">
        <v>0</v>
      </c>
      <c r="D25" s="21"/>
      <c r="F25" s="137">
        <f t="shared" si="0"/>
        <v>0</v>
      </c>
    </row>
    <row r="26" spans="1:6" ht="43.2" x14ac:dyDescent="0.3">
      <c r="A26" s="139" t="s">
        <v>174</v>
      </c>
      <c r="B26" s="23">
        <f>[1]Társulás!$G$117+[1]Társulás!$G$118</f>
        <v>9643000</v>
      </c>
      <c r="C26" s="23">
        <v>9643000</v>
      </c>
      <c r="D26" s="22" t="s">
        <v>37</v>
      </c>
      <c r="F26" s="137">
        <f t="shared" si="0"/>
        <v>0</v>
      </c>
    </row>
    <row r="27" spans="1:6" ht="15.6" x14ac:dyDescent="0.3">
      <c r="A27" s="19" t="s">
        <v>38</v>
      </c>
      <c r="B27" s="23">
        <v>0</v>
      </c>
      <c r="C27" s="23">
        <v>0</v>
      </c>
      <c r="D27" s="21"/>
      <c r="F27" s="137">
        <f t="shared" si="0"/>
        <v>0</v>
      </c>
    </row>
    <row r="28" spans="1:6" ht="15.6" x14ac:dyDescent="0.3">
      <c r="A28" s="19" t="s">
        <v>39</v>
      </c>
      <c r="B28" s="23">
        <f>[1]Társulás!$G$79+[1]Társulás!$G$80+[1]Társulás!$G$81+[1]Társulás!$G$85+[1]Társulás!$G$94</f>
        <v>873158007</v>
      </c>
      <c r="C28" s="23">
        <v>944213861</v>
      </c>
      <c r="D28" s="21" t="s">
        <v>140</v>
      </c>
      <c r="F28" s="137">
        <f t="shared" si="0"/>
        <v>71055854</v>
      </c>
    </row>
    <row r="29" spans="1:6" ht="15.6" x14ac:dyDescent="0.3">
      <c r="A29" s="19" t="s">
        <v>276</v>
      </c>
      <c r="B29" s="23">
        <f>'2B'!B58+'2C'!B48</f>
        <v>556455877</v>
      </c>
      <c r="C29" s="23">
        <f>'2B'!C58+'2C'!C48</f>
        <v>601313182</v>
      </c>
      <c r="D29" s="21"/>
      <c r="F29" s="137">
        <f t="shared" si="0"/>
        <v>44857305</v>
      </c>
    </row>
    <row r="30" spans="1:6" ht="15.6" x14ac:dyDescent="0.3">
      <c r="A30" s="19" t="s">
        <v>59</v>
      </c>
      <c r="B30" s="23">
        <v>0</v>
      </c>
      <c r="C30" s="23">
        <v>0</v>
      </c>
      <c r="D30" s="21"/>
      <c r="F30" s="137">
        <f t="shared" si="0"/>
        <v>0</v>
      </c>
    </row>
    <row r="31" spans="1:6" ht="15.6" x14ac:dyDescent="0.3">
      <c r="A31" s="19" t="s">
        <v>42</v>
      </c>
      <c r="B31" s="23">
        <v>0</v>
      </c>
      <c r="C31" s="23">
        <v>0</v>
      </c>
      <c r="D31" s="21" t="s">
        <v>43</v>
      </c>
      <c r="F31" s="137">
        <f t="shared" si="0"/>
        <v>0</v>
      </c>
    </row>
    <row r="32" spans="1:6" ht="15.6" x14ac:dyDescent="0.3">
      <c r="A32" s="24" t="s">
        <v>44</v>
      </c>
      <c r="B32" s="25">
        <f>SUM(B24+B25+B26+B28+B30+B31)</f>
        <v>882801007</v>
      </c>
      <c r="C32" s="25">
        <f>SUM(C24:C28)</f>
        <v>953856861</v>
      </c>
      <c r="D32" s="21"/>
      <c r="F32" s="137">
        <f t="shared" si="0"/>
        <v>71055854</v>
      </c>
    </row>
    <row r="33" spans="1:1024" ht="15.6" x14ac:dyDescent="0.3">
      <c r="A33" s="19" t="s">
        <v>156</v>
      </c>
      <c r="B33" s="20">
        <f>[2]Társulás!$G$102</f>
        <v>164624559</v>
      </c>
      <c r="C33" s="20">
        <v>164624559</v>
      </c>
      <c r="D33" s="21"/>
      <c r="F33" s="137">
        <f t="shared" si="0"/>
        <v>0</v>
      </c>
    </row>
    <row r="34" spans="1:1024" ht="15.6" x14ac:dyDescent="0.3">
      <c r="A34" s="19" t="s">
        <v>45</v>
      </c>
      <c r="B34" s="242" t="s">
        <v>31</v>
      </c>
      <c r="C34" s="242" t="s">
        <v>31</v>
      </c>
      <c r="D34" s="21"/>
    </row>
    <row r="35" spans="1:1024" ht="15.6" x14ac:dyDescent="0.3">
      <c r="A35" s="33" t="s">
        <v>46</v>
      </c>
      <c r="B35" s="28">
        <f>B32+B33</f>
        <v>1047425566</v>
      </c>
      <c r="C35" s="28">
        <f>C32+C33</f>
        <v>1118481420</v>
      </c>
      <c r="D35" s="21"/>
      <c r="F35" s="137">
        <f t="shared" si="0"/>
        <v>71055854</v>
      </c>
    </row>
    <row r="37" spans="1:1024" s="151" customFormat="1" x14ac:dyDescent="0.3">
      <c r="A37" s="1"/>
      <c r="B37" s="1"/>
      <c r="C37" s="1"/>
      <c r="D37" s="1"/>
      <c r="E37" s="1"/>
      <c r="F37" s="13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</row>
    <row r="38" spans="1:1024" s="151" customFormat="1" x14ac:dyDescent="0.3">
      <c r="A38" s="1" t="s">
        <v>345</v>
      </c>
      <c r="B38" s="1"/>
      <c r="C38" s="1"/>
      <c r="D38" s="1"/>
      <c r="E38" s="1"/>
      <c r="F38" s="13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1:1024" s="151" customFormat="1" x14ac:dyDescent="0.3">
      <c r="A39" s="154"/>
      <c r="B39" s="1"/>
      <c r="C39" s="1"/>
      <c r="D39" s="1"/>
      <c r="E39" s="1"/>
      <c r="F39" s="13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1:1024" x14ac:dyDescent="0.3">
      <c r="A40" s="154"/>
    </row>
    <row r="41" spans="1:1024" x14ac:dyDescent="0.3">
      <c r="A41" s="155"/>
    </row>
    <row r="42" spans="1:1024" x14ac:dyDescent="0.3">
      <c r="A42" s="155"/>
    </row>
  </sheetData>
  <mergeCells count="6">
    <mergeCell ref="B1:C1"/>
    <mergeCell ref="A9:B9"/>
    <mergeCell ref="A3:B3"/>
    <mergeCell ref="A4:B4"/>
    <mergeCell ref="A5:B5"/>
    <mergeCell ref="A6:B6"/>
  </mergeCells>
  <pageMargins left="0.70000000000000007" right="0.70000000000000007" top="1.1437007874015752" bottom="1.1437007874015752" header="0.75000000000000011" footer="0.75000000000000011"/>
  <pageSetup paperSize="9" scale="66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"/>
  <sheetViews>
    <sheetView workbookViewId="0">
      <selection activeCell="E9" sqref="E9"/>
    </sheetView>
  </sheetViews>
  <sheetFormatPr defaultRowHeight="14.4" x14ac:dyDescent="0.3"/>
  <cols>
    <col min="1" max="1" width="31.5" style="1" customWidth="1"/>
    <col min="2" max="2" width="13.69921875" style="1" customWidth="1"/>
    <col min="3" max="3" width="14" style="1" customWidth="1"/>
    <col min="4" max="4" width="15.19921875" style="1" customWidth="1"/>
    <col min="5" max="5" width="11.19921875" style="1" customWidth="1"/>
    <col min="6" max="6" width="14.59765625" style="1" customWidth="1"/>
    <col min="7" max="7" width="13.19921875" style="1" customWidth="1"/>
    <col min="8" max="8" width="15" style="1" customWidth="1"/>
    <col min="9" max="9" width="16.19921875" style="1" customWidth="1"/>
    <col min="10" max="1024" width="8.69921875" style="1" customWidth="1"/>
    <col min="1025" max="1025" width="9" customWidth="1"/>
  </cols>
  <sheetData>
    <row r="1" spans="1:9" x14ac:dyDescent="0.3">
      <c r="B1" s="275"/>
      <c r="C1" s="275"/>
      <c r="H1" s="2" t="s">
        <v>325</v>
      </c>
    </row>
    <row r="2" spans="1:9" x14ac:dyDescent="0.3">
      <c r="B2" s="2"/>
    </row>
    <row r="3" spans="1:9" x14ac:dyDescent="0.3">
      <c r="A3" s="265" t="s">
        <v>0</v>
      </c>
      <c r="B3" s="265"/>
      <c r="C3" s="265"/>
      <c r="D3" s="265"/>
      <c r="E3" s="265"/>
      <c r="F3" s="265"/>
      <c r="G3" s="265"/>
      <c r="H3" s="265"/>
      <c r="I3" s="265"/>
    </row>
    <row r="4" spans="1:9" x14ac:dyDescent="0.3">
      <c r="A4" s="265" t="s">
        <v>273</v>
      </c>
      <c r="B4" s="265"/>
      <c r="C4" s="265"/>
      <c r="D4" s="265"/>
      <c r="E4" s="265"/>
      <c r="F4" s="265"/>
      <c r="G4" s="265"/>
      <c r="H4" s="265"/>
      <c r="I4" s="265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265" t="s">
        <v>66</v>
      </c>
      <c r="B6" s="265"/>
      <c r="C6" s="265"/>
      <c r="D6" s="265"/>
      <c r="E6" s="265"/>
      <c r="F6" s="265"/>
      <c r="G6" s="265"/>
      <c r="H6" s="265"/>
      <c r="I6" s="265"/>
    </row>
    <row r="7" spans="1:9" x14ac:dyDescent="0.3">
      <c r="A7" s="265" t="s">
        <v>282</v>
      </c>
      <c r="B7" s="265"/>
      <c r="C7" s="265"/>
      <c r="D7" s="265"/>
      <c r="E7" s="265"/>
      <c r="F7" s="265"/>
      <c r="G7" s="265"/>
      <c r="H7" s="265"/>
      <c r="I7" s="265"/>
    </row>
    <row r="8" spans="1:9" x14ac:dyDescent="0.3">
      <c r="A8" s="265" t="s">
        <v>169</v>
      </c>
      <c r="B8" s="265"/>
      <c r="C8" s="265"/>
      <c r="D8" s="265"/>
      <c r="E8" s="265"/>
      <c r="F8" s="265"/>
      <c r="G8" s="265"/>
      <c r="H8" s="265"/>
      <c r="I8" s="265"/>
    </row>
    <row r="10" spans="1:9" x14ac:dyDescent="0.3">
      <c r="A10" s="2" t="s">
        <v>230</v>
      </c>
    </row>
    <row r="12" spans="1:9" ht="43.2" x14ac:dyDescent="0.3">
      <c r="A12" s="2" t="s">
        <v>67</v>
      </c>
      <c r="B12" s="47" t="s">
        <v>16</v>
      </c>
      <c r="C12" s="2" t="s">
        <v>68</v>
      </c>
      <c r="D12" s="2" t="s">
        <v>69</v>
      </c>
      <c r="E12" s="47" t="s">
        <v>70</v>
      </c>
      <c r="F12" s="2" t="s">
        <v>71</v>
      </c>
      <c r="G12" s="47" t="s">
        <v>72</v>
      </c>
      <c r="H12" s="47" t="s">
        <v>24</v>
      </c>
      <c r="I12" s="2" t="s">
        <v>62</v>
      </c>
    </row>
    <row r="13" spans="1:9" ht="44.25" customHeight="1" x14ac:dyDescent="0.3">
      <c r="A13" s="22" t="s">
        <v>9</v>
      </c>
      <c r="B13" s="48">
        <f>'2B'!B12</f>
        <v>552860250</v>
      </c>
      <c r="C13" s="48">
        <f>'2B'!B13</f>
        <v>94462200</v>
      </c>
      <c r="D13" s="48">
        <f>'2B'!B14</f>
        <v>283690000</v>
      </c>
      <c r="E13" s="48">
        <f>'2B'!B16</f>
        <v>17000</v>
      </c>
      <c r="F13" s="48">
        <v>0</v>
      </c>
      <c r="G13" s="48">
        <v>0</v>
      </c>
      <c r="H13" s="48">
        <f>'2B'!B17</f>
        <v>27932931</v>
      </c>
      <c r="I13" s="48">
        <f>SUM(B13:H13)</f>
        <v>958962381</v>
      </c>
    </row>
    <row r="14" spans="1:9" ht="40.5" customHeight="1" x14ac:dyDescent="0.3">
      <c r="A14" s="22" t="s">
        <v>164</v>
      </c>
      <c r="B14" s="48">
        <f>'2C'!B12</f>
        <v>246985250</v>
      </c>
      <c r="C14" s="48">
        <f>'2C'!B13</f>
        <v>41561500</v>
      </c>
      <c r="D14" s="48">
        <f>'2C'!B14</f>
        <v>36170000</v>
      </c>
      <c r="E14" s="48">
        <f>'2C'!B15</f>
        <v>450000</v>
      </c>
      <c r="F14" s="48">
        <v>0</v>
      </c>
      <c r="G14" s="48">
        <v>0</v>
      </c>
      <c r="H14" s="48">
        <f>'2C'!B16</f>
        <v>3329438</v>
      </c>
      <c r="I14" s="48">
        <f>SUM(B14:H14)</f>
        <v>328496188</v>
      </c>
    </row>
    <row r="15" spans="1:9" ht="40.5" customHeight="1" x14ac:dyDescent="0.3">
      <c r="A15" s="22" t="s">
        <v>7</v>
      </c>
      <c r="B15" s="48">
        <f>'2D'!B12</f>
        <v>500000</v>
      </c>
      <c r="C15" s="48">
        <f>'2D'!B13</f>
        <v>179950</v>
      </c>
      <c r="D15" s="48">
        <f>'2D'!B14</f>
        <v>3864370</v>
      </c>
      <c r="E15" s="48">
        <v>0</v>
      </c>
      <c r="F15" s="48">
        <f>'2D'!B20</f>
        <v>218143651.75</v>
      </c>
      <c r="G15" s="48">
        <f>'2D'!B15</f>
        <v>7557000</v>
      </c>
      <c r="H15" s="48">
        <f>'2D'!B17</f>
        <v>9389000</v>
      </c>
      <c r="I15" s="48">
        <f>SUM(B15:H15)</f>
        <v>239633971.75</v>
      </c>
    </row>
    <row r="16" spans="1:9" x14ac:dyDescent="0.3">
      <c r="A16" s="49" t="s">
        <v>73</v>
      </c>
      <c r="B16" s="50">
        <f t="shared" ref="B16:I16" si="0">SUM(B13:B15)</f>
        <v>800345500</v>
      </c>
      <c r="C16" s="50">
        <f t="shared" si="0"/>
        <v>136203650</v>
      </c>
      <c r="D16" s="50">
        <f t="shared" si="0"/>
        <v>323724370</v>
      </c>
      <c r="E16" s="50">
        <f t="shared" si="0"/>
        <v>467000</v>
      </c>
      <c r="F16" s="50">
        <f t="shared" si="0"/>
        <v>218143651.75</v>
      </c>
      <c r="G16" s="50">
        <f t="shared" si="0"/>
        <v>7557000</v>
      </c>
      <c r="H16" s="50">
        <f t="shared" si="0"/>
        <v>40651369</v>
      </c>
      <c r="I16" s="50">
        <f t="shared" si="0"/>
        <v>1527092540.75</v>
      </c>
    </row>
    <row r="20" spans="1:1" x14ac:dyDescent="0.3">
      <c r="A20" s="1" t="s">
        <v>334</v>
      </c>
    </row>
  </sheetData>
  <mergeCells count="6">
    <mergeCell ref="A8:I8"/>
    <mergeCell ref="B1:C1"/>
    <mergeCell ref="A3:I3"/>
    <mergeCell ref="A4:I4"/>
    <mergeCell ref="A6:I6"/>
    <mergeCell ref="A7:I7"/>
  </mergeCells>
  <pageMargins left="0.70826771653543308" right="0.70826771653543308" top="1.1417322834645671" bottom="1.1417322834645671" header="0.74803149606299213" footer="0.74803149606299213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6"/>
  <sheetViews>
    <sheetView workbookViewId="0">
      <selection activeCell="A27" sqref="A27"/>
    </sheetView>
  </sheetViews>
  <sheetFormatPr defaultRowHeight="14.4" x14ac:dyDescent="0.3"/>
  <cols>
    <col min="1" max="1" width="27.19921875" style="1" customWidth="1"/>
    <col min="2" max="2" width="15.5" style="1" customWidth="1"/>
    <col min="3" max="3" width="16.69921875" style="1" customWidth="1"/>
    <col min="4" max="4" width="14" style="1" customWidth="1"/>
    <col min="5" max="5" width="20.09765625" style="1" customWidth="1"/>
    <col min="6" max="6" width="14" style="1" customWidth="1"/>
    <col min="7" max="7" width="14.09765625" style="1" customWidth="1"/>
    <col min="8" max="8" width="16.59765625" style="1" customWidth="1"/>
    <col min="9" max="9" width="15.19921875" style="1" customWidth="1"/>
    <col min="10" max="10" width="15.5" style="1" customWidth="1"/>
    <col min="11" max="11" width="19.09765625" style="1" customWidth="1"/>
    <col min="12" max="12" width="16" style="1" customWidth="1"/>
    <col min="13" max="1025" width="8.69921875" style="1" customWidth="1"/>
    <col min="1026" max="1026" width="9" customWidth="1"/>
  </cols>
  <sheetData>
    <row r="1" spans="1:12" x14ac:dyDescent="0.3">
      <c r="B1" s="275"/>
      <c r="C1" s="275"/>
      <c r="I1" s="2" t="s">
        <v>326</v>
      </c>
    </row>
    <row r="2" spans="1:12" x14ac:dyDescent="0.3">
      <c r="B2" s="2"/>
    </row>
    <row r="3" spans="1:12" x14ac:dyDescent="0.3">
      <c r="A3" s="265" t="s">
        <v>0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2" x14ac:dyDescent="0.3">
      <c r="A4" s="265" t="s">
        <v>273</v>
      </c>
      <c r="B4" s="265"/>
      <c r="C4" s="265"/>
      <c r="D4" s="265"/>
      <c r="E4" s="265"/>
      <c r="F4" s="265"/>
      <c r="G4" s="265"/>
      <c r="H4" s="265"/>
      <c r="I4" s="265"/>
      <c r="J4" s="265"/>
    </row>
    <row r="6" spans="1:12" x14ac:dyDescent="0.3">
      <c r="A6" s="265" t="s">
        <v>74</v>
      </c>
      <c r="B6" s="265"/>
      <c r="C6" s="265"/>
      <c r="D6" s="265"/>
      <c r="E6" s="265"/>
      <c r="F6" s="265"/>
      <c r="G6" s="265"/>
      <c r="H6" s="265"/>
      <c r="I6" s="265"/>
      <c r="J6" s="265"/>
    </row>
    <row r="7" spans="1:12" x14ac:dyDescent="0.3">
      <c r="A7" s="265" t="s">
        <v>282</v>
      </c>
      <c r="B7" s="265"/>
      <c r="C7" s="265"/>
      <c r="D7" s="265"/>
      <c r="E7" s="265"/>
      <c r="F7" s="265"/>
      <c r="G7" s="265"/>
      <c r="H7" s="265"/>
      <c r="I7" s="265"/>
      <c r="J7" s="265"/>
    </row>
    <row r="8" spans="1:12" x14ac:dyDescent="0.3">
      <c r="A8" s="265" t="s">
        <v>229</v>
      </c>
      <c r="B8" s="265"/>
      <c r="C8" s="265"/>
      <c r="D8" s="265"/>
      <c r="E8" s="265"/>
      <c r="F8" s="265"/>
      <c r="G8" s="265"/>
      <c r="H8" s="265"/>
      <c r="I8" s="265"/>
      <c r="J8" s="265"/>
    </row>
    <row r="10" spans="1:12" x14ac:dyDescent="0.3">
      <c r="A10" s="2" t="s">
        <v>231</v>
      </c>
    </row>
    <row r="12" spans="1:12" ht="72" x14ac:dyDescent="0.3">
      <c r="A12" s="2" t="s">
        <v>67</v>
      </c>
      <c r="B12" s="47" t="s">
        <v>75</v>
      </c>
      <c r="C12" s="47" t="s">
        <v>54</v>
      </c>
      <c r="D12" s="2" t="s">
        <v>76</v>
      </c>
      <c r="E12" s="47" t="s">
        <v>77</v>
      </c>
      <c r="F12" s="47" t="s">
        <v>283</v>
      </c>
      <c r="G12" s="47" t="s">
        <v>78</v>
      </c>
      <c r="H12" s="47" t="s">
        <v>335</v>
      </c>
      <c r="I12" s="47" t="s">
        <v>157</v>
      </c>
      <c r="J12" s="47" t="s">
        <v>62</v>
      </c>
    </row>
    <row r="13" spans="1:12" ht="42" customHeight="1" x14ac:dyDescent="0.3">
      <c r="A13" s="51" t="s">
        <v>9</v>
      </c>
      <c r="B13" s="48">
        <f>'2B'!B23</f>
        <v>296100000</v>
      </c>
      <c r="C13" s="52">
        <f>'2B'!B38+'2B'!B39+'2B'!B40+'2B'!B41+'2B'!B42+'2B'!B43+'2B'!B44+'2B'!B45</f>
        <v>363556976</v>
      </c>
      <c r="D13" s="52">
        <f>'2B'!B46</f>
        <v>72862905</v>
      </c>
      <c r="E13" s="48">
        <f>'2B'!B26</f>
        <v>76413910</v>
      </c>
      <c r="F13" s="48">
        <v>0</v>
      </c>
      <c r="G13" s="52">
        <f>'2B'!B47</f>
        <v>32187600</v>
      </c>
      <c r="H13" s="52">
        <f>'2B'!B48+'2B'!B53</f>
        <v>70558834</v>
      </c>
      <c r="I13" s="48">
        <f>'2B'!B31</f>
        <v>45776182</v>
      </c>
      <c r="J13" s="48">
        <f>SUM(B13:I13)</f>
        <v>957456407</v>
      </c>
      <c r="K13" s="137">
        <f>J13-'3'!I13</f>
        <v>-1505974</v>
      </c>
      <c r="L13" s="53"/>
    </row>
    <row r="14" spans="1:12" ht="47.25" customHeight="1" x14ac:dyDescent="0.3">
      <c r="A14" s="22" t="s">
        <v>164</v>
      </c>
      <c r="B14" s="48">
        <f>'2C'!B22</f>
        <v>2000000</v>
      </c>
      <c r="C14" s="52">
        <f>108535000+'2C'!B38+'2C'!B41</f>
        <v>160711301</v>
      </c>
      <c r="D14" s="52">
        <f>'2C'!B39</f>
        <v>71143115</v>
      </c>
      <c r="E14" s="52">
        <f>'2C'!B25</f>
        <v>54460000</v>
      </c>
      <c r="F14" s="52">
        <v>0</v>
      </c>
      <c r="G14" s="52">
        <v>0</v>
      </c>
      <c r="H14" s="48" t="e">
        <f>'2C'!B40+'2C'!#REF!</f>
        <v>#REF!</v>
      </c>
      <c r="I14" s="48">
        <f>'2C'!B30</f>
        <v>5516883</v>
      </c>
      <c r="J14" s="48" t="e">
        <f>SUM(B14:I14)</f>
        <v>#REF!</v>
      </c>
      <c r="K14" s="137" t="e">
        <f>J14-'3'!I14</f>
        <v>#REF!</v>
      </c>
      <c r="L14" s="53"/>
    </row>
    <row r="15" spans="1:12" ht="43.5" customHeight="1" x14ac:dyDescent="0.3">
      <c r="A15" s="22" t="s">
        <v>236</v>
      </c>
      <c r="B15" s="48">
        <f>'2D'!B24</f>
        <v>0</v>
      </c>
      <c r="C15" s="48">
        <v>0</v>
      </c>
      <c r="D15" s="48">
        <f>[1]Társulás!$G$84</f>
        <v>36699950</v>
      </c>
      <c r="E15" s="48">
        <f>[1]Társulás!$G$79</f>
        <v>17000</v>
      </c>
      <c r="F15" s="48">
        <f>'2D'!B26</f>
        <v>9643000</v>
      </c>
      <c r="G15" s="48">
        <v>0</v>
      </c>
      <c r="H15" s="48">
        <f>31568000-2918537</f>
        <v>28649463</v>
      </c>
      <c r="I15" s="48">
        <f>'2D'!B33</f>
        <v>164624559</v>
      </c>
      <c r="J15" s="48">
        <f>SUM(B15:I15)</f>
        <v>239633972</v>
      </c>
      <c r="K15" s="137">
        <f>J15-'3'!I15</f>
        <v>0.25</v>
      </c>
      <c r="L15" s="53"/>
    </row>
    <row r="16" spans="1:12" ht="15.6" x14ac:dyDescent="0.3">
      <c r="A16" s="54" t="s">
        <v>73</v>
      </c>
      <c r="B16" s="55">
        <f t="shared" ref="B16:J16" si="0">SUM(B13:B15)</f>
        <v>298100000</v>
      </c>
      <c r="C16" s="55">
        <f t="shared" si="0"/>
        <v>524268277</v>
      </c>
      <c r="D16" s="55">
        <f t="shared" si="0"/>
        <v>180705970</v>
      </c>
      <c r="E16" s="55">
        <f t="shared" si="0"/>
        <v>130890910</v>
      </c>
      <c r="F16" s="55">
        <f t="shared" si="0"/>
        <v>9643000</v>
      </c>
      <c r="G16" s="55">
        <f t="shared" si="0"/>
        <v>32187600</v>
      </c>
      <c r="H16" s="55" t="e">
        <f t="shared" si="0"/>
        <v>#REF!</v>
      </c>
      <c r="I16" s="55">
        <f t="shared" si="0"/>
        <v>215917624</v>
      </c>
      <c r="J16" s="55" t="e">
        <f t="shared" si="0"/>
        <v>#REF!</v>
      </c>
      <c r="K16" s="137"/>
      <c r="L16" s="53"/>
    </row>
    <row r="18" spans="1:1025" x14ac:dyDescent="0.3">
      <c r="A18" s="1" t="s">
        <v>237</v>
      </c>
    </row>
    <row r="19" spans="1:1025" s="159" customFormat="1" x14ac:dyDescent="0.3">
      <c r="A19" s="161" t="s">
        <v>238</v>
      </c>
      <c r="B19" s="1"/>
      <c r="C19" s="156">
        <f>'[1]2021 tagdíj'!$E$37</f>
        <v>21308400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</row>
    <row r="20" spans="1:1025" s="231" customFormat="1" x14ac:dyDescent="0.3">
      <c r="A20" s="161" t="s">
        <v>336</v>
      </c>
      <c r="B20" s="1"/>
      <c r="C20" s="156"/>
      <c r="D20" s="156">
        <v>2105974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</row>
    <row r="21" spans="1:1025" s="231" customFormat="1" x14ac:dyDescent="0.3">
      <c r="A21" s="161" t="s">
        <v>337</v>
      </c>
      <c r="B21" s="1"/>
      <c r="C21" s="156"/>
      <c r="D21" s="156">
        <v>812563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</row>
    <row r="22" spans="1:1025" s="159" customFormat="1" x14ac:dyDescent="0.3">
      <c r="A22" s="161" t="s">
        <v>239</v>
      </c>
      <c r="B22" s="1"/>
      <c r="C22" s="156">
        <f>'[1]2021 tagdíj'!$G$37</f>
        <v>1578400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</row>
    <row r="23" spans="1:1025" s="159" customFormat="1" x14ac:dyDescent="0.3">
      <c r="A23" s="161" t="s">
        <v>240</v>
      </c>
      <c r="B23" s="1"/>
      <c r="C23" s="156">
        <f>'[1]2021 tagdíj'!$D$70</f>
        <v>789200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</row>
    <row r="24" spans="1:1025" x14ac:dyDescent="0.3">
      <c r="A24" s="161" t="s">
        <v>241</v>
      </c>
      <c r="C24" s="156">
        <f>'[1]2021 tagdíj'!$E$70</f>
        <v>7892000</v>
      </c>
      <c r="E24" s="232" t="s">
        <v>338</v>
      </c>
    </row>
    <row r="25" spans="1:1025" s="159" customFormat="1" x14ac:dyDescent="0.3">
      <c r="A25" s="161" t="s">
        <v>155</v>
      </c>
      <c r="B25" s="1"/>
      <c r="C25" s="156">
        <f>SUM(C19:C24)</f>
        <v>31568000</v>
      </c>
      <c r="D25" s="156">
        <f>SUM(D20:D21)</f>
        <v>2918537</v>
      </c>
      <c r="E25" s="156">
        <f>C25-D25</f>
        <v>28649463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</row>
    <row r="26" spans="1:1025" x14ac:dyDescent="0.3">
      <c r="A26" s="1" t="s">
        <v>333</v>
      </c>
    </row>
  </sheetData>
  <mergeCells count="6">
    <mergeCell ref="A8:J8"/>
    <mergeCell ref="B1:C1"/>
    <mergeCell ref="A3:J3"/>
    <mergeCell ref="A4:J4"/>
    <mergeCell ref="A6:J6"/>
    <mergeCell ref="A7:J7"/>
  </mergeCells>
  <pageMargins left="0.70826771653543308" right="0.70826771653543308" top="1.1417322834645671" bottom="1.1417322834645671" header="0.74803149606299213" footer="0.74803149606299213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0"/>
  <sheetViews>
    <sheetView tabSelected="1" workbookViewId="0">
      <selection activeCell="C42" sqref="C42:C43"/>
    </sheetView>
  </sheetViews>
  <sheetFormatPr defaultRowHeight="14.4" x14ac:dyDescent="0.3"/>
  <cols>
    <col min="1" max="1" width="31.5" style="1" customWidth="1"/>
    <col min="2" max="2" width="15.69921875" style="1" customWidth="1"/>
    <col min="3" max="3" width="14.19921875" style="1" customWidth="1"/>
    <col min="4" max="4" width="21.69921875" style="1" customWidth="1"/>
    <col min="5" max="5" width="18.69921875" style="1" customWidth="1"/>
    <col min="6" max="6" width="14.59765625" style="1" customWidth="1"/>
    <col min="7" max="7" width="20.8984375" style="1" customWidth="1"/>
    <col min="8" max="8" width="18.59765625" style="1" customWidth="1"/>
    <col min="9" max="9" width="13.19921875" style="162" customWidth="1"/>
    <col min="10" max="1024" width="9.3984375" style="1" customWidth="1"/>
    <col min="1025" max="1025" width="9" customWidth="1"/>
  </cols>
  <sheetData>
    <row r="1" spans="1:1024" x14ac:dyDescent="0.3">
      <c r="B1" s="275"/>
      <c r="C1" s="275"/>
      <c r="F1" s="2"/>
      <c r="G1" s="2" t="s">
        <v>325</v>
      </c>
    </row>
    <row r="2" spans="1:1024" x14ac:dyDescent="0.3">
      <c r="A2" s="265" t="s">
        <v>0</v>
      </c>
      <c r="B2" s="265"/>
      <c r="C2" s="265"/>
      <c r="D2" s="265"/>
      <c r="E2" s="265"/>
      <c r="F2" s="265"/>
      <c r="G2" s="265"/>
      <c r="H2" s="265"/>
    </row>
    <row r="3" spans="1:1024" x14ac:dyDescent="0.3">
      <c r="A3" s="265" t="s">
        <v>359</v>
      </c>
      <c r="B3" s="265"/>
      <c r="C3" s="265"/>
      <c r="D3" s="265"/>
      <c r="E3" s="265"/>
      <c r="F3" s="265"/>
      <c r="G3" s="265"/>
      <c r="H3" s="265"/>
    </row>
    <row r="4" spans="1:1024" x14ac:dyDescent="0.3">
      <c r="A4" s="3"/>
      <c r="B4" s="3"/>
      <c r="C4" s="3"/>
      <c r="D4" s="3"/>
      <c r="E4" s="3"/>
      <c r="F4" s="3"/>
      <c r="G4" s="3"/>
      <c r="H4" s="3"/>
    </row>
    <row r="5" spans="1:1024" x14ac:dyDescent="0.3">
      <c r="A5" s="265" t="s">
        <v>79</v>
      </c>
      <c r="B5" s="265"/>
      <c r="C5" s="265"/>
      <c r="D5" s="265"/>
      <c r="E5" s="265"/>
      <c r="F5" s="265"/>
      <c r="G5" s="265"/>
      <c r="H5" s="265"/>
    </row>
    <row r="6" spans="1:1024" x14ac:dyDescent="0.3">
      <c r="A6" s="265" t="s">
        <v>282</v>
      </c>
      <c r="B6" s="265"/>
      <c r="C6" s="265"/>
      <c r="D6" s="265"/>
      <c r="E6" s="265"/>
      <c r="F6" s="265"/>
      <c r="G6" s="265"/>
      <c r="H6" s="265"/>
    </row>
    <row r="7" spans="1:1024" x14ac:dyDescent="0.3">
      <c r="A7" s="265" t="s">
        <v>169</v>
      </c>
      <c r="B7" s="265"/>
      <c r="C7" s="265"/>
      <c r="D7" s="265"/>
      <c r="E7" s="265"/>
      <c r="F7" s="265"/>
      <c r="G7" s="265"/>
      <c r="H7" s="265"/>
    </row>
    <row r="8" spans="1:1024" x14ac:dyDescent="0.3">
      <c r="A8" s="2" t="s">
        <v>170</v>
      </c>
    </row>
    <row r="9" spans="1:1024" x14ac:dyDescent="0.3">
      <c r="A9" s="2" t="s">
        <v>365</v>
      </c>
    </row>
    <row r="10" spans="1:1024" ht="28.8" x14ac:dyDescent="0.3">
      <c r="A10" s="2" t="s">
        <v>67</v>
      </c>
      <c r="B10" s="47" t="s">
        <v>16</v>
      </c>
      <c r="C10" s="2" t="s">
        <v>68</v>
      </c>
      <c r="D10" s="2" t="s">
        <v>69</v>
      </c>
      <c r="E10" s="47" t="s">
        <v>70</v>
      </c>
      <c r="F10" s="2" t="s">
        <v>71</v>
      </c>
      <c r="G10" s="47" t="s">
        <v>72</v>
      </c>
      <c r="H10" s="2" t="s">
        <v>62</v>
      </c>
      <c r="AMJ10"/>
    </row>
    <row r="11" spans="1:1024" ht="15.6" x14ac:dyDescent="0.3">
      <c r="A11" s="22" t="s">
        <v>9</v>
      </c>
      <c r="B11" s="48">
        <f>'2B'!B12</f>
        <v>552860250</v>
      </c>
      <c r="C11" s="48">
        <f>'2B'!B13</f>
        <v>94462200</v>
      </c>
      <c r="D11" s="48">
        <f>'2B'!B14</f>
        <v>283690000</v>
      </c>
      <c r="E11" s="48">
        <f>'2B'!B15</f>
        <v>600000</v>
      </c>
      <c r="F11" s="48">
        <v>0</v>
      </c>
      <c r="G11" s="48">
        <f>'2B'!B16</f>
        <v>17000</v>
      </c>
      <c r="H11" s="48">
        <f>SUM(B11:G11)</f>
        <v>931629450</v>
      </c>
      <c r="AMJ11"/>
    </row>
    <row r="12" spans="1:1024" ht="15.6" x14ac:dyDescent="0.3">
      <c r="A12" s="22" t="s">
        <v>164</v>
      </c>
      <c r="B12" s="48">
        <f>'2C'!B12</f>
        <v>246985250</v>
      </c>
      <c r="C12" s="48">
        <f>'2C'!B13</f>
        <v>41561500</v>
      </c>
      <c r="D12" s="48">
        <f>'2C'!B14</f>
        <v>36170000</v>
      </c>
      <c r="E12" s="48">
        <f>'2C'!B15</f>
        <v>450000</v>
      </c>
      <c r="F12" s="48">
        <v>0</v>
      </c>
      <c r="G12" s="48">
        <v>0</v>
      </c>
      <c r="H12" s="48">
        <f>SUM(B12:G12)</f>
        <v>325166750</v>
      </c>
      <c r="AMJ12"/>
    </row>
    <row r="13" spans="1:1024" ht="15.6" x14ac:dyDescent="0.3">
      <c r="A13" s="22" t="s">
        <v>7</v>
      </c>
      <c r="B13" s="48">
        <f>'2D'!B12</f>
        <v>500000</v>
      </c>
      <c r="C13" s="48">
        <f>'2D'!B13</f>
        <v>179950</v>
      </c>
      <c r="D13" s="48">
        <f>'2D'!B14</f>
        <v>3864370</v>
      </c>
      <c r="E13" s="48">
        <v>0</v>
      </c>
      <c r="F13" s="48">
        <f>'2D'!B20</f>
        <v>218143651.75</v>
      </c>
      <c r="G13" s="48">
        <f>'2D'!B15</f>
        <v>7557000</v>
      </c>
      <c r="H13" s="48">
        <f>SUM(B13:G13)</f>
        <v>230244971.75</v>
      </c>
      <c r="AMJ13"/>
    </row>
    <row r="14" spans="1:1024" x14ac:dyDescent="0.3">
      <c r="A14" s="49" t="s">
        <v>73</v>
      </c>
      <c r="B14" s="50">
        <f t="shared" ref="B14:H14" si="0">SUM(B11:B13)</f>
        <v>800345500</v>
      </c>
      <c r="C14" s="50">
        <f t="shared" si="0"/>
        <v>136203650</v>
      </c>
      <c r="D14" s="50">
        <f t="shared" si="0"/>
        <v>323724370</v>
      </c>
      <c r="E14" s="50">
        <f t="shared" si="0"/>
        <v>1050000</v>
      </c>
      <c r="F14" s="50">
        <f t="shared" si="0"/>
        <v>218143651.75</v>
      </c>
      <c r="G14" s="50">
        <f t="shared" si="0"/>
        <v>7574000</v>
      </c>
      <c r="H14" s="50">
        <f t="shared" si="0"/>
        <v>1487041171.75</v>
      </c>
      <c r="AMJ14"/>
    </row>
    <row r="15" spans="1:1024" s="1" customFormat="1" ht="15.6" x14ac:dyDescent="0.3">
      <c r="A15" s="47"/>
      <c r="B15" s="56"/>
      <c r="C15" s="56"/>
      <c r="D15" s="56"/>
      <c r="E15" s="56"/>
      <c r="F15" s="56"/>
      <c r="G15" s="56"/>
      <c r="H15" s="57"/>
      <c r="I15" s="162"/>
    </row>
    <row r="16" spans="1:1024" s="1" customFormat="1" x14ac:dyDescent="0.3">
      <c r="A16" s="2" t="s">
        <v>170</v>
      </c>
      <c r="I16" s="162"/>
    </row>
    <row r="17" spans="1:1024" s="1" customFormat="1" x14ac:dyDescent="0.3">
      <c r="A17" s="2" t="s">
        <v>366</v>
      </c>
      <c r="I17" s="162"/>
    </row>
    <row r="18" spans="1:1024" s="1" customFormat="1" ht="28.8" x14ac:dyDescent="0.3">
      <c r="A18" s="2" t="s">
        <v>67</v>
      </c>
      <c r="B18" s="47" t="s">
        <v>16</v>
      </c>
      <c r="C18" s="2" t="s">
        <v>68</v>
      </c>
      <c r="D18" s="2" t="s">
        <v>69</v>
      </c>
      <c r="E18" s="47" t="s">
        <v>70</v>
      </c>
      <c r="F18" s="2" t="s">
        <v>71</v>
      </c>
      <c r="G18" s="47" t="s">
        <v>72</v>
      </c>
      <c r="H18" s="2" t="s">
        <v>62</v>
      </c>
      <c r="I18" s="162"/>
    </row>
    <row r="19" spans="1:1024" s="1" customFormat="1" ht="15.6" x14ac:dyDescent="0.3">
      <c r="A19" s="22" t="s">
        <v>9</v>
      </c>
      <c r="B19" s="48">
        <f>'2B'!C12</f>
        <v>562516740</v>
      </c>
      <c r="C19" s="48">
        <f>'2B'!C13</f>
        <v>95689725</v>
      </c>
      <c r="D19" s="48">
        <f>'2B'!C14</f>
        <v>286563003</v>
      </c>
      <c r="E19" s="48">
        <f>'2B'!C15</f>
        <v>600000</v>
      </c>
      <c r="F19" s="48">
        <v>0</v>
      </c>
      <c r="G19" s="48">
        <f>'2B'!C16</f>
        <v>573814</v>
      </c>
      <c r="H19" s="48">
        <f>SUM(B19:G19)</f>
        <v>945943282</v>
      </c>
      <c r="I19" s="162"/>
    </row>
    <row r="20" spans="1:1024" s="1" customFormat="1" ht="15.6" x14ac:dyDescent="0.3">
      <c r="A20" s="22" t="s">
        <v>164</v>
      </c>
      <c r="B20" s="48">
        <f>'2C'!C12</f>
        <v>248080250</v>
      </c>
      <c r="C20" s="48">
        <f>'2C'!C13</f>
        <v>41893816</v>
      </c>
      <c r="D20" s="48">
        <f>'2C'!C14</f>
        <v>37471930</v>
      </c>
      <c r="E20" s="48">
        <f>'2C'!C15</f>
        <v>450000</v>
      </c>
      <c r="F20" s="48">
        <v>0</v>
      </c>
      <c r="G20" s="48">
        <v>0</v>
      </c>
      <c r="H20" s="48">
        <f>SUM(B20:G20)</f>
        <v>327895996</v>
      </c>
      <c r="I20" s="162"/>
    </row>
    <row r="21" spans="1:1024" s="1" customFormat="1" ht="15.6" x14ac:dyDescent="0.3">
      <c r="A21" s="22" t="s">
        <v>7</v>
      </c>
      <c r="B21" s="48">
        <f>'2D'!C12</f>
        <v>500000</v>
      </c>
      <c r="C21" s="48">
        <f>'2D'!C13</f>
        <v>179950</v>
      </c>
      <c r="D21" s="48">
        <f>'2D'!C14</f>
        <v>3864370</v>
      </c>
      <c r="E21" s="48">
        <v>0</v>
      </c>
      <c r="F21" s="48">
        <f>'2D'!C20</f>
        <v>210936927</v>
      </c>
      <c r="G21" s="48">
        <f>'2D'!C15</f>
        <v>7557000</v>
      </c>
      <c r="H21" s="48">
        <f>SUM(B21:G21)</f>
        <v>223038247</v>
      </c>
      <c r="I21" s="162"/>
    </row>
    <row r="22" spans="1:1024" s="1" customFormat="1" x14ac:dyDescent="0.3">
      <c r="A22" s="49" t="s">
        <v>73</v>
      </c>
      <c r="B22" s="50">
        <f t="shared" ref="B22:H22" si="1">SUM(B19:B21)</f>
        <v>811096990</v>
      </c>
      <c r="C22" s="50">
        <f t="shared" si="1"/>
        <v>137763491</v>
      </c>
      <c r="D22" s="50">
        <f t="shared" si="1"/>
        <v>327899303</v>
      </c>
      <c r="E22" s="50">
        <f t="shared" si="1"/>
        <v>1050000</v>
      </c>
      <c r="F22" s="50">
        <f t="shared" si="1"/>
        <v>210936927</v>
      </c>
      <c r="G22" s="50">
        <f t="shared" si="1"/>
        <v>8130814</v>
      </c>
      <c r="H22" s="50">
        <f t="shared" si="1"/>
        <v>1496877525</v>
      </c>
      <c r="I22" s="162"/>
    </row>
    <row r="23" spans="1:1024" s="1" customFormat="1" x14ac:dyDescent="0.3">
      <c r="A23" s="263"/>
      <c r="B23" s="264"/>
      <c r="C23" s="264"/>
      <c r="D23" s="264"/>
      <c r="E23" s="264"/>
      <c r="F23" s="264"/>
      <c r="G23" s="264"/>
      <c r="H23" s="264"/>
      <c r="I23" s="162"/>
    </row>
    <row r="24" spans="1:1024" s="1" customFormat="1" x14ac:dyDescent="0.3">
      <c r="A24" s="2" t="s">
        <v>171</v>
      </c>
      <c r="I24" s="162"/>
    </row>
    <row r="25" spans="1:1024" s="1" customFormat="1" x14ac:dyDescent="0.3">
      <c r="A25" s="2" t="s">
        <v>365</v>
      </c>
      <c r="I25" s="162"/>
    </row>
    <row r="26" spans="1:1024" ht="28.8" x14ac:dyDescent="0.3">
      <c r="A26" s="2" t="s">
        <v>67</v>
      </c>
      <c r="B26" s="47" t="s">
        <v>75</v>
      </c>
      <c r="C26" s="47" t="s">
        <v>54</v>
      </c>
      <c r="D26" s="2" t="s">
        <v>76</v>
      </c>
      <c r="E26" s="47" t="s">
        <v>77</v>
      </c>
      <c r="F26" s="47" t="s">
        <v>78</v>
      </c>
      <c r="G26" s="47" t="s">
        <v>157</v>
      </c>
      <c r="H26" s="47" t="s">
        <v>62</v>
      </c>
      <c r="AMJ26"/>
    </row>
    <row r="27" spans="1:1024" ht="15.6" x14ac:dyDescent="0.3">
      <c r="A27" s="51" t="s">
        <v>9</v>
      </c>
      <c r="B27" s="48">
        <f>'2B'!B23</f>
        <v>296100000</v>
      </c>
      <c r="C27" s="52">
        <f>'2B'!B38+'2B'!B39+'2B'!B40+'2B'!B41+'2B'!B42+'2B'!B43+'2B'!B44+'2B'!B45</f>
        <v>363556976</v>
      </c>
      <c r="D27" s="52">
        <f>'2B'!B46</f>
        <v>72862905</v>
      </c>
      <c r="E27" s="48">
        <f>'2B'!B48+'2B'!B26+'2B'!B49</f>
        <v>149078718</v>
      </c>
      <c r="F27" s="52">
        <f>'2B'!B47</f>
        <v>32187600</v>
      </c>
      <c r="G27" s="52">
        <f>'2B'!B31-27932931</f>
        <v>17843251</v>
      </c>
      <c r="H27" s="48">
        <f>SUM(B27:G27)</f>
        <v>931629450</v>
      </c>
      <c r="I27" s="173"/>
      <c r="AMJ27"/>
    </row>
    <row r="28" spans="1:1024" ht="15.6" x14ac:dyDescent="0.3">
      <c r="A28" s="22" t="s">
        <v>164</v>
      </c>
      <c r="B28" s="48">
        <f>'2C'!B22</f>
        <v>2000000</v>
      </c>
      <c r="C28" s="52">
        <f>'2C'!B48</f>
        <v>160711301</v>
      </c>
      <c r="D28" s="52">
        <f>'2C'!B39</f>
        <v>71143115</v>
      </c>
      <c r="E28" s="52">
        <f>'2C'!B40+'2C'!B42+'2C'!B25</f>
        <v>89124889</v>
      </c>
      <c r="F28" s="52">
        <v>0</v>
      </c>
      <c r="G28" s="48">
        <f>'2C'!B30-3329438</f>
        <v>2187445</v>
      </c>
      <c r="H28" s="48">
        <f>SUM(B28:G28)</f>
        <v>325166750</v>
      </c>
      <c r="AMJ28"/>
    </row>
    <row r="29" spans="1:1024" ht="15.6" x14ac:dyDescent="0.3">
      <c r="A29" s="22" t="s">
        <v>7</v>
      </c>
      <c r="B29" s="48">
        <f>'2D'!B24</f>
        <v>0</v>
      </c>
      <c r="C29" s="48">
        <v>0</v>
      </c>
      <c r="D29" s="48">
        <f>'4'!D15</f>
        <v>36699950</v>
      </c>
      <c r="E29" s="48">
        <f>'4'!H15+'4'!E15+254000</f>
        <v>28920463</v>
      </c>
      <c r="F29" s="48">
        <v>0</v>
      </c>
      <c r="G29" s="48">
        <f>'2D'!B33</f>
        <v>164624559</v>
      </c>
      <c r="H29" s="48">
        <f>SUM(B29:G29)</f>
        <v>230244972</v>
      </c>
      <c r="AMJ29"/>
    </row>
    <row r="30" spans="1:1024" ht="15.6" x14ac:dyDescent="0.3">
      <c r="A30" s="54" t="s">
        <v>73</v>
      </c>
      <c r="B30" s="55">
        <f t="shared" ref="B30:H30" si="2">SUM(B27:B29)</f>
        <v>298100000</v>
      </c>
      <c r="C30" s="55">
        <f t="shared" si="2"/>
        <v>524268277</v>
      </c>
      <c r="D30" s="55">
        <f>SUM(D27:D29)</f>
        <v>180705970</v>
      </c>
      <c r="E30" s="55">
        <f t="shared" si="2"/>
        <v>267124070</v>
      </c>
      <c r="F30" s="55">
        <f t="shared" si="2"/>
        <v>32187600</v>
      </c>
      <c r="G30" s="55">
        <f t="shared" si="2"/>
        <v>184655255</v>
      </c>
      <c r="H30" s="55">
        <f t="shared" si="2"/>
        <v>1487041172</v>
      </c>
      <c r="AMJ30"/>
    </row>
    <row r="31" spans="1:1024" s="100" customFormat="1" ht="15.6" x14ac:dyDescent="0.3">
      <c r="A31" s="47"/>
      <c r="B31" s="99"/>
      <c r="C31" s="99"/>
      <c r="D31" s="99"/>
      <c r="E31" s="99"/>
      <c r="F31" s="99"/>
      <c r="G31" s="99"/>
      <c r="H31" s="99"/>
      <c r="I31" s="16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</row>
    <row r="32" spans="1:1024" s="100" customFormat="1" x14ac:dyDescent="0.3">
      <c r="A32" s="2" t="s">
        <v>171</v>
      </c>
      <c r="B32" s="1"/>
      <c r="C32" s="1"/>
      <c r="D32" s="1"/>
      <c r="E32" s="1"/>
      <c r="F32" s="1"/>
      <c r="G32" s="1"/>
      <c r="H32" s="1"/>
      <c r="I32" s="16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</row>
    <row r="33" spans="1:1025" s="100" customFormat="1" x14ac:dyDescent="0.3">
      <c r="A33" s="2" t="s">
        <v>366</v>
      </c>
      <c r="B33" s="1"/>
      <c r="C33" s="1"/>
      <c r="D33" s="1"/>
      <c r="E33" s="1"/>
      <c r="F33" s="1"/>
      <c r="G33" s="1"/>
      <c r="H33" s="1"/>
      <c r="I33" s="16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</row>
    <row r="34" spans="1:1025" s="100" customFormat="1" ht="28.8" x14ac:dyDescent="0.3">
      <c r="A34" s="2" t="s">
        <v>67</v>
      </c>
      <c r="B34" s="47" t="s">
        <v>75</v>
      </c>
      <c r="C34" s="47" t="s">
        <v>54</v>
      </c>
      <c r="D34" s="2" t="s">
        <v>76</v>
      </c>
      <c r="E34" s="47" t="s">
        <v>77</v>
      </c>
      <c r="F34" s="47" t="s">
        <v>78</v>
      </c>
      <c r="G34" s="47" t="s">
        <v>157</v>
      </c>
      <c r="H34" s="47" t="s">
        <v>62</v>
      </c>
      <c r="I34" s="16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</row>
    <row r="35" spans="1:1025" s="100" customFormat="1" ht="15.6" x14ac:dyDescent="0.3">
      <c r="A35" s="51" t="s">
        <v>9</v>
      </c>
      <c r="B35" s="48">
        <f>'2B'!C23</f>
        <v>296100000</v>
      </c>
      <c r="C35" s="52">
        <f>'2B'!C38+'2B'!C39+'2B'!C40+'2B'!C41+'2B'!C42+'2B'!C43+'2B'!C44+'2B'!C45+'2B'!C50+'2B'!C51+'2B'!C52</f>
        <v>408414281</v>
      </c>
      <c r="D35" s="52">
        <f>'2B'!C46+'2B'!C53</f>
        <v>78804905</v>
      </c>
      <c r="E35" s="48">
        <f>'2B'!C48+'2B'!C49+'2B'!C26</f>
        <v>112593245</v>
      </c>
      <c r="F35" s="52">
        <f>'2B'!C47</f>
        <v>32187600</v>
      </c>
      <c r="G35" s="52">
        <v>17843251</v>
      </c>
      <c r="H35" s="48">
        <f>SUM(B35:G35)</f>
        <v>945943282</v>
      </c>
      <c r="I35" s="162">
        <v>945943282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</row>
    <row r="36" spans="1:1025" s="100" customFormat="1" ht="15.6" x14ac:dyDescent="0.3">
      <c r="A36" s="22" t="s">
        <v>164</v>
      </c>
      <c r="B36" s="48">
        <f>'2C'!C22</f>
        <v>2000000</v>
      </c>
      <c r="C36" s="52">
        <f>'2C'!C48+'2C'!C43</f>
        <v>186909850</v>
      </c>
      <c r="D36" s="52">
        <f>'2C'!C39+'2C'!C44</f>
        <v>72407840</v>
      </c>
      <c r="E36" s="52">
        <f>'2C'!C42+'2C'!C40+'2C'!C25</f>
        <v>64390841</v>
      </c>
      <c r="F36" s="52">
        <v>0</v>
      </c>
      <c r="G36" s="48">
        <f>2187445+20</f>
        <v>2187465</v>
      </c>
      <c r="H36" s="48">
        <f>SUM(B36:G36)</f>
        <v>327895996</v>
      </c>
      <c r="I36" s="162">
        <v>327895996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</row>
    <row r="37" spans="1:1025" s="100" customFormat="1" ht="15.6" x14ac:dyDescent="0.3">
      <c r="A37" s="22" t="s">
        <v>7</v>
      </c>
      <c r="B37" s="48">
        <f>'2D'!C24</f>
        <v>0</v>
      </c>
      <c r="C37" s="48">
        <v>0</v>
      </c>
      <c r="D37" s="48">
        <f>36699950-7206725</f>
        <v>29493225</v>
      </c>
      <c r="E37" s="48">
        <v>28920463</v>
      </c>
      <c r="F37" s="48">
        <v>0</v>
      </c>
      <c r="G37" s="48">
        <v>164624559</v>
      </c>
      <c r="H37" s="48">
        <f>SUM(B37:G37)</f>
        <v>223038247</v>
      </c>
      <c r="I37" s="162">
        <v>223038247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</row>
    <row r="38" spans="1:1025" s="100" customFormat="1" ht="15.6" x14ac:dyDescent="0.3">
      <c r="A38" s="54" t="s">
        <v>73</v>
      </c>
      <c r="B38" s="55">
        <f t="shared" ref="B38:C38" si="3">SUM(B35:B37)</f>
        <v>298100000</v>
      </c>
      <c r="C38" s="55">
        <f t="shared" si="3"/>
        <v>595324131</v>
      </c>
      <c r="D38" s="55">
        <f>SUM(D35:D37)</f>
        <v>180705970</v>
      </c>
      <c r="E38" s="55">
        <f t="shared" ref="E38:H38" si="4">SUM(E35:E37)</f>
        <v>205904549</v>
      </c>
      <c r="F38" s="55">
        <f t="shared" si="4"/>
        <v>32187600</v>
      </c>
      <c r="G38" s="55">
        <f t="shared" si="4"/>
        <v>184655275</v>
      </c>
      <c r="H38" s="55">
        <f t="shared" si="4"/>
        <v>1496877525</v>
      </c>
      <c r="I38" s="16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</row>
    <row r="39" spans="1:1025" s="100" customFormat="1" ht="15.6" x14ac:dyDescent="0.3">
      <c r="A39" s="47"/>
      <c r="B39" s="99"/>
      <c r="C39" s="99"/>
      <c r="D39" s="99"/>
      <c r="E39" s="99"/>
      <c r="F39" s="99"/>
      <c r="G39" s="99"/>
      <c r="H39" s="99"/>
      <c r="I39" s="16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1:1025" s="100" customFormat="1" ht="15.6" x14ac:dyDescent="0.3">
      <c r="A40" s="47" t="s">
        <v>172</v>
      </c>
      <c r="B40" s="99" t="s">
        <v>365</v>
      </c>
      <c r="C40" s="99" t="s">
        <v>366</v>
      </c>
      <c r="D40" s="99"/>
      <c r="E40" s="262" t="s">
        <v>173</v>
      </c>
      <c r="F40" s="99" t="s">
        <v>365</v>
      </c>
      <c r="G40" s="99" t="s">
        <v>366</v>
      </c>
      <c r="H40" s="99"/>
      <c r="I40" s="99"/>
      <c r="J40" s="16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</row>
    <row r="41" spans="1:1025" s="100" customFormat="1" ht="43.2" x14ac:dyDescent="0.3">
      <c r="A41" s="2" t="s">
        <v>67</v>
      </c>
      <c r="B41" s="47" t="s">
        <v>24</v>
      </c>
      <c r="C41" s="47" t="s">
        <v>24</v>
      </c>
      <c r="D41" s="99"/>
      <c r="E41" s="2" t="s">
        <v>67</v>
      </c>
      <c r="F41" s="47" t="s">
        <v>259</v>
      </c>
      <c r="G41" s="47" t="s">
        <v>259</v>
      </c>
      <c r="H41" s="99"/>
      <c r="I41" s="1"/>
      <c r="J41" s="1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</row>
    <row r="42" spans="1:1025" s="100" customFormat="1" ht="28.8" x14ac:dyDescent="0.3">
      <c r="A42" s="22" t="s">
        <v>9</v>
      </c>
      <c r="B42" s="48">
        <f>'2B'!B17</f>
        <v>27932931</v>
      </c>
      <c r="C42" s="48">
        <f>'2B'!C17</f>
        <v>27932931</v>
      </c>
      <c r="D42" s="99"/>
      <c r="E42" s="51" t="s">
        <v>9</v>
      </c>
      <c r="F42" s="48">
        <f>'2B'!B31-'5'!G27</f>
        <v>27932931</v>
      </c>
      <c r="G42" s="48">
        <v>27932931</v>
      </c>
      <c r="H42" s="99"/>
      <c r="I42" s="1"/>
      <c r="J42" s="1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</row>
    <row r="43" spans="1:1025" s="100" customFormat="1" ht="28.8" x14ac:dyDescent="0.3">
      <c r="A43" s="22" t="s">
        <v>164</v>
      </c>
      <c r="B43" s="48">
        <f>'2C'!B16</f>
        <v>3329438</v>
      </c>
      <c r="C43" s="48">
        <f>'2C'!C16</f>
        <v>3329438</v>
      </c>
      <c r="D43" s="99"/>
      <c r="E43" s="22" t="s">
        <v>164</v>
      </c>
      <c r="F43" s="48">
        <f>'2C'!B30-'5'!G28</f>
        <v>3329438</v>
      </c>
      <c r="G43" s="48">
        <v>3329438</v>
      </c>
      <c r="H43" s="99"/>
      <c r="I43" s="1"/>
      <c r="J43" s="1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</row>
    <row r="44" spans="1:1025" s="100" customFormat="1" ht="43.2" x14ac:dyDescent="0.3">
      <c r="A44" s="22" t="s">
        <v>7</v>
      </c>
      <c r="B44" s="48">
        <f>'2D'!B17</f>
        <v>9389000</v>
      </c>
      <c r="C44" s="48">
        <f>'2D'!C17</f>
        <v>9389000</v>
      </c>
      <c r="D44" s="99"/>
      <c r="E44" s="22" t="s">
        <v>331</v>
      </c>
      <c r="F44" s="48">
        <f>'2D'!B26-254000</f>
        <v>9389000</v>
      </c>
      <c r="G44" s="48">
        <v>9389000</v>
      </c>
      <c r="H44" s="99"/>
      <c r="I44" s="1"/>
      <c r="J44" s="1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</row>
    <row r="45" spans="1:1025" s="100" customFormat="1" ht="15.6" x14ac:dyDescent="0.3">
      <c r="A45" s="49" t="s">
        <v>73</v>
      </c>
      <c r="B45" s="50">
        <f>SUM(B42:B44)</f>
        <v>40651369</v>
      </c>
      <c r="C45" s="50">
        <f>SUM(C42:C44)</f>
        <v>40651369</v>
      </c>
      <c r="D45" s="99"/>
      <c r="E45" s="54" t="s">
        <v>73</v>
      </c>
      <c r="F45" s="55">
        <f>SUM(F42:F44)</f>
        <v>40651369</v>
      </c>
      <c r="G45" s="55">
        <f>SUM(G42:G44)</f>
        <v>40651369</v>
      </c>
      <c r="H45" s="99"/>
      <c r="I45" s="1"/>
      <c r="J45" s="16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</row>
    <row r="46" spans="1:1025" s="100" customFormat="1" ht="15.6" x14ac:dyDescent="0.3">
      <c r="A46" s="47"/>
      <c r="B46" s="99"/>
      <c r="C46" s="99"/>
      <c r="D46" s="99"/>
      <c r="E46" s="99"/>
      <c r="F46" s="99"/>
      <c r="G46" s="99"/>
      <c r="H46" s="99"/>
      <c r="I46" s="16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</row>
    <row r="47" spans="1:1025" x14ac:dyDescent="0.3">
      <c r="E47" s="180"/>
    </row>
    <row r="50" spans="1:1" x14ac:dyDescent="0.3">
      <c r="A50" s="1" t="s">
        <v>345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0"/>
  <sheetViews>
    <sheetView workbookViewId="0">
      <selection activeCell="A51" sqref="A51"/>
    </sheetView>
  </sheetViews>
  <sheetFormatPr defaultRowHeight="14.4" x14ac:dyDescent="0.3"/>
  <cols>
    <col min="1" max="1" width="37.5" style="1" customWidth="1"/>
    <col min="2" max="2" width="34.8984375" style="1" customWidth="1"/>
    <col min="3" max="3" width="18.5" style="1" customWidth="1"/>
    <col min="4" max="4" width="21.8984375" style="1" customWidth="1"/>
    <col min="5" max="1024" width="8.69921875" style="1" customWidth="1"/>
    <col min="1025" max="1025" width="9" customWidth="1"/>
  </cols>
  <sheetData>
    <row r="1" spans="1:1024" x14ac:dyDescent="0.3">
      <c r="B1" s="265" t="s">
        <v>327</v>
      </c>
      <c r="C1" s="265"/>
    </row>
    <row r="2" spans="1:1024" x14ac:dyDescent="0.3">
      <c r="B2" s="2"/>
    </row>
    <row r="3" spans="1:1024" x14ac:dyDescent="0.3">
      <c r="B3" s="2"/>
    </row>
    <row r="4" spans="1:1024" x14ac:dyDescent="0.3">
      <c r="B4" s="2"/>
    </row>
    <row r="5" spans="1:1024" x14ac:dyDescent="0.3">
      <c r="A5" s="265" t="s">
        <v>0</v>
      </c>
      <c r="B5" s="265"/>
      <c r="C5" s="265"/>
    </row>
    <row r="6" spans="1:1024" x14ac:dyDescent="0.3">
      <c r="A6" s="265" t="s">
        <v>284</v>
      </c>
      <c r="B6" s="265"/>
      <c r="C6" s="265"/>
    </row>
    <row r="9" spans="1:1024" x14ac:dyDescent="0.3">
      <c r="A9" s="265" t="s">
        <v>81</v>
      </c>
      <c r="B9" s="265"/>
      <c r="C9" s="265"/>
    </row>
    <row r="10" spans="1:1024" x14ac:dyDescent="0.3">
      <c r="A10" s="265" t="s">
        <v>82</v>
      </c>
      <c r="B10" s="265"/>
      <c r="C10" s="265"/>
    </row>
    <row r="12" spans="1:1024" x14ac:dyDescent="0.3">
      <c r="A12" s="2" t="s">
        <v>83</v>
      </c>
      <c r="B12" s="2" t="s">
        <v>84</v>
      </c>
      <c r="C12" s="2" t="s">
        <v>232</v>
      </c>
    </row>
    <row r="13" spans="1:1024" ht="51" customHeight="1" x14ac:dyDescent="0.35">
      <c r="A13" s="58" t="s">
        <v>85</v>
      </c>
      <c r="B13" s="22" t="s">
        <v>183</v>
      </c>
      <c r="C13" s="59">
        <f>'4'!C16</f>
        <v>524268277</v>
      </c>
    </row>
    <row r="14" spans="1:1024" ht="29.4" x14ac:dyDescent="0.35">
      <c r="A14" s="22" t="s">
        <v>285</v>
      </c>
      <c r="B14" s="22" t="s">
        <v>184</v>
      </c>
      <c r="C14" s="59">
        <f>[1]Társulás!$G$86</f>
        <v>14014000</v>
      </c>
      <c r="D14" s="138"/>
    </row>
    <row r="15" spans="1:1024" s="94" customFormat="1" ht="29.4" x14ac:dyDescent="0.35">
      <c r="A15" s="22" t="s">
        <v>285</v>
      </c>
      <c r="B15" s="22" t="s">
        <v>185</v>
      </c>
      <c r="C15" s="177">
        <f>[1]Társulás!$G$87</f>
        <v>9995600</v>
      </c>
      <c r="D15" s="17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176" customFormat="1" ht="29.4" x14ac:dyDescent="0.35">
      <c r="A16" s="22" t="s">
        <v>285</v>
      </c>
      <c r="B16" s="51" t="s">
        <v>286</v>
      </c>
      <c r="C16" s="179">
        <f>[1]Társulás!$G$88</f>
        <v>8178000</v>
      </c>
      <c r="D16" s="17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ht="43.8" x14ac:dyDescent="0.35">
      <c r="A17" s="22" t="s">
        <v>86</v>
      </c>
      <c r="B17" s="22" t="s">
        <v>265</v>
      </c>
      <c r="C17" s="178">
        <f>[1]Társulás!$G$83</f>
        <v>72862905</v>
      </c>
      <c r="D17" s="276">
        <f>SUM(C17:C21)</f>
        <v>236283058</v>
      </c>
      <c r="E17" s="279" t="s">
        <v>263</v>
      </c>
    </row>
    <row r="18" spans="1:1024" ht="29.4" x14ac:dyDescent="0.35">
      <c r="A18" s="22" t="s">
        <v>86</v>
      </c>
      <c r="B18" s="22" t="s">
        <v>266</v>
      </c>
      <c r="C18" s="170">
        <f>[1]Társulás!$G$82</f>
        <v>71143115</v>
      </c>
      <c r="D18" s="277"/>
      <c r="E18" s="280"/>
    </row>
    <row r="19" spans="1:1024" s="176" customFormat="1" ht="29.4" x14ac:dyDescent="0.35">
      <c r="A19" s="22" t="s">
        <v>86</v>
      </c>
      <c r="B19" s="22" t="s">
        <v>287</v>
      </c>
      <c r="C19" s="170">
        <f>[1]Társulás!$G$84</f>
        <v>36699950</v>
      </c>
      <c r="D19" s="277"/>
      <c r="E19" s="28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s="169" customFormat="1" ht="43.8" x14ac:dyDescent="0.35">
      <c r="A20" s="22" t="s">
        <v>86</v>
      </c>
      <c r="B20" s="22" t="s">
        <v>267</v>
      </c>
      <c r="C20" s="170">
        <f>'[1]2021 tagdíj'!$D$28+'[1]2021 tagdíj'!$F$28</f>
        <v>42674688</v>
      </c>
      <c r="D20" s="277"/>
      <c r="E20" s="28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s="151" customFormat="1" ht="43.8" x14ac:dyDescent="0.35">
      <c r="A21" s="22" t="s">
        <v>86</v>
      </c>
      <c r="B21" s="22" t="s">
        <v>254</v>
      </c>
      <c r="C21" s="170">
        <f>[1]Társulás!$G$89+[1]Társulás!$G$90+[1]Társulás!$G$91+[1]Társulás!$G$92+[1]Társulás!$G$93-C20</f>
        <v>12902400</v>
      </c>
      <c r="D21" s="278"/>
      <c r="E21" s="28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ht="30.75" customHeight="1" x14ac:dyDescent="0.3">
      <c r="A22" s="22" t="s">
        <v>186</v>
      </c>
      <c r="B22" s="22" t="s">
        <v>187</v>
      </c>
      <c r="C22" s="282">
        <f>'[1]2021 tagdíj'!$D$37-'[1]2021 tagdíj'!$D$28+'[1]2021 tagdíj'!$F$37-'[1]2021 tagdíj'!$F$28</f>
        <v>61736472</v>
      </c>
      <c r="D22" s="276">
        <f>C22+C24</f>
        <v>80402072</v>
      </c>
      <c r="E22" s="279" t="s">
        <v>264</v>
      </c>
    </row>
    <row r="23" spans="1:1024" s="151" customFormat="1" ht="30.75" customHeight="1" x14ac:dyDescent="0.3">
      <c r="A23" s="22" t="s">
        <v>186</v>
      </c>
      <c r="B23" s="22" t="s">
        <v>188</v>
      </c>
      <c r="C23" s="283"/>
      <c r="D23" s="277"/>
      <c r="E23" s="28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ht="29.4" x14ac:dyDescent="0.35">
      <c r="A24" s="22" t="s">
        <v>189</v>
      </c>
      <c r="B24" s="22" t="s">
        <v>141</v>
      </c>
      <c r="C24" s="170">
        <f>[1]Társulás!$G$94-C22</f>
        <v>18665600</v>
      </c>
      <c r="D24" s="278"/>
      <c r="E24" s="281"/>
    </row>
    <row r="25" spans="1:1024" s="151" customFormat="1" ht="29.4" x14ac:dyDescent="0.35">
      <c r="A25" s="22" t="s">
        <v>194</v>
      </c>
      <c r="B25" s="22" t="s">
        <v>190</v>
      </c>
      <c r="C25" s="59">
        <f>'[1]CSGYK 2020.12.15'!$F$89</f>
        <v>51900000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59" customFormat="1" ht="29.4" x14ac:dyDescent="0.35">
      <c r="A26" s="22" t="s">
        <v>194</v>
      </c>
      <c r="B26" s="22" t="s">
        <v>251</v>
      </c>
      <c r="C26" s="59">
        <f>'[1]CSGYK 2020.12.15'!$F$91</f>
        <v>960000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51" customFormat="1" ht="29.4" x14ac:dyDescent="0.35">
      <c r="A27" s="22" t="s">
        <v>194</v>
      </c>
      <c r="B27" s="22" t="s">
        <v>191</v>
      </c>
      <c r="C27" s="59">
        <f>'[1]KESZI 2020.12.15'!$G$89</f>
        <v>70000000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51" customFormat="1" ht="29.4" x14ac:dyDescent="0.35">
      <c r="A28" s="22" t="s">
        <v>194</v>
      </c>
      <c r="B28" s="22" t="s">
        <v>192</v>
      </c>
      <c r="C28" s="59">
        <f>'[1]KESZI 2020.12.15'!$G$91</f>
        <v>3968910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59" customFormat="1" ht="29.4" x14ac:dyDescent="0.35">
      <c r="A29" s="22" t="s">
        <v>194</v>
      </c>
      <c r="B29" s="22" t="s">
        <v>252</v>
      </c>
      <c r="C29" s="59">
        <f>'[1]KESZI 2020.12.15'!$G$92</f>
        <v>945000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59" customFormat="1" ht="29.4" x14ac:dyDescent="0.35">
      <c r="A30" s="22" t="s">
        <v>194</v>
      </c>
      <c r="B30" s="22" t="s">
        <v>253</v>
      </c>
      <c r="C30" s="59">
        <f>'[1]KESZI 2020.12.15'!$G$90</f>
        <v>1500000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159" customFormat="1" ht="29.4" x14ac:dyDescent="0.35">
      <c r="A31" s="22" t="s">
        <v>288</v>
      </c>
      <c r="B31" s="22" t="s">
        <v>289</v>
      </c>
      <c r="C31" s="59">
        <f>[1]Társulás!$G$118</f>
        <v>1800000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s="159" customFormat="1" ht="58.2" x14ac:dyDescent="0.35">
      <c r="A32" s="22" t="s">
        <v>288</v>
      </c>
      <c r="B32" s="22" t="s">
        <v>290</v>
      </c>
      <c r="C32" s="59">
        <f>[1]Társulás!$G$117</f>
        <v>7843000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ht="18" x14ac:dyDescent="0.35">
      <c r="A33" s="49" t="s">
        <v>87</v>
      </c>
      <c r="B33" s="60"/>
      <c r="C33" s="61">
        <f>SUM(C24:C32,C13:C21)+26392320</f>
        <v>976713765</v>
      </c>
    </row>
    <row r="34" spans="1:1024" x14ac:dyDescent="0.3">
      <c r="B34" s="46" t="s">
        <v>88</v>
      </c>
    </row>
    <row r="36" spans="1:1024" x14ac:dyDescent="0.3">
      <c r="A36" s="265" t="s">
        <v>89</v>
      </c>
      <c r="B36" s="265"/>
      <c r="C36" s="265"/>
    </row>
    <row r="37" spans="1:1024" x14ac:dyDescent="0.3">
      <c r="A37" s="265" t="s">
        <v>82</v>
      </c>
      <c r="B37" s="265"/>
      <c r="C37" s="265"/>
    </row>
    <row r="39" spans="1:1024" x14ac:dyDescent="0.3">
      <c r="A39" s="2" t="s">
        <v>90</v>
      </c>
      <c r="B39" s="2" t="s">
        <v>91</v>
      </c>
      <c r="C39" s="2" t="s">
        <v>233</v>
      </c>
    </row>
    <row r="40" spans="1:1024" ht="18" x14ac:dyDescent="0.35">
      <c r="A40" s="22" t="s">
        <v>142</v>
      </c>
      <c r="B40" s="22" t="s">
        <v>143</v>
      </c>
      <c r="C40" s="62">
        <f>[1]Társulás!$G$41</f>
        <v>3600000</v>
      </c>
    </row>
    <row r="41" spans="1:1024" ht="18" x14ac:dyDescent="0.35">
      <c r="A41" s="22" t="s">
        <v>159</v>
      </c>
      <c r="B41" s="22" t="s">
        <v>92</v>
      </c>
      <c r="C41" s="62">
        <f>[1]Társulás!$G$43</f>
        <v>900000</v>
      </c>
    </row>
    <row r="42" spans="1:1024" ht="18" x14ac:dyDescent="0.35">
      <c r="A42" s="22" t="s">
        <v>93</v>
      </c>
      <c r="B42" s="22" t="s">
        <v>94</v>
      </c>
      <c r="C42" s="62">
        <f>[1]Társulás!$G$45</f>
        <v>1840000</v>
      </c>
    </row>
    <row r="43" spans="1:1024" ht="58.2" x14ac:dyDescent="0.35">
      <c r="A43" s="22" t="s">
        <v>164</v>
      </c>
      <c r="B43" s="22" t="s">
        <v>193</v>
      </c>
      <c r="C43" s="62">
        <f>'[1]CSGYK 2020.12.15'!$G$102</f>
        <v>265706741.79310346</v>
      </c>
      <c r="I43" s="63"/>
    </row>
    <row r="44" spans="1:1024" ht="87" x14ac:dyDescent="0.35">
      <c r="A44" s="132" t="s">
        <v>9</v>
      </c>
      <c r="B44" s="101" t="s">
        <v>291</v>
      </c>
      <c r="C44" s="102">
        <f>'[1]KESZI 2020.12.15'!$G$109</f>
        <v>539166315.20689654</v>
      </c>
      <c r="F44" s="63"/>
    </row>
    <row r="45" spans="1:1024" s="128" customFormat="1" ht="29.4" x14ac:dyDescent="0.35">
      <c r="A45" s="22" t="s">
        <v>164</v>
      </c>
      <c r="B45" s="103" t="s">
        <v>160</v>
      </c>
      <c r="C45" s="104">
        <f>[1]Társulás!$G$52</f>
        <v>1264725</v>
      </c>
      <c r="D45" s="1"/>
      <c r="E45" s="1"/>
      <c r="F45" s="6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</row>
    <row r="46" spans="1:1024" s="128" customFormat="1" ht="29.4" x14ac:dyDescent="0.35">
      <c r="A46" s="132" t="s">
        <v>9</v>
      </c>
      <c r="B46" s="103" t="s">
        <v>160</v>
      </c>
      <c r="C46" s="104">
        <f>[1]Társulás!$G$53</f>
        <v>14663840.73</v>
      </c>
      <c r="D46" s="1"/>
      <c r="E46" s="1"/>
      <c r="F46" s="6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</row>
    <row r="47" spans="1:1024" ht="18" x14ac:dyDescent="0.35">
      <c r="A47" s="64" t="s">
        <v>87</v>
      </c>
      <c r="B47" s="65"/>
      <c r="C47" s="66">
        <f>SUM(C39:C46)</f>
        <v>827141622.73000002</v>
      </c>
    </row>
    <row r="48" spans="1:1024" x14ac:dyDescent="0.3">
      <c r="B48" s="46" t="s">
        <v>96</v>
      </c>
    </row>
    <row r="50" spans="1:1" x14ac:dyDescent="0.3">
      <c r="A50" s="1" t="s">
        <v>333</v>
      </c>
    </row>
  </sheetData>
  <mergeCells count="12">
    <mergeCell ref="D17:D21"/>
    <mergeCell ref="E17:E21"/>
    <mergeCell ref="D22:D24"/>
    <mergeCell ref="E22:E24"/>
    <mergeCell ref="A37:C37"/>
    <mergeCell ref="A36:C36"/>
    <mergeCell ref="C22:C23"/>
    <mergeCell ref="B1:C1"/>
    <mergeCell ref="A5:C5"/>
    <mergeCell ref="A6:C6"/>
    <mergeCell ref="A9:C9"/>
    <mergeCell ref="A10:C10"/>
  </mergeCells>
  <pageMargins left="0.75984251968503913" right="0.70000000000000007" top="0.85354330708661408" bottom="0.74370078740157508" header="0.45984251968503903" footer="0.35000000000000003"/>
  <pageSetup paperSize="9" scale="5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AMJ81"/>
  <sheetViews>
    <sheetView workbookViewId="0">
      <selection activeCell="A82" sqref="A82"/>
    </sheetView>
  </sheetViews>
  <sheetFormatPr defaultRowHeight="14.4" x14ac:dyDescent="0.3"/>
  <cols>
    <col min="1" max="1" width="26.8984375" style="1" customWidth="1"/>
    <col min="2" max="2" width="13" style="1" customWidth="1"/>
    <col min="3" max="3" width="13.19921875" style="1" customWidth="1"/>
    <col min="4" max="4" width="13.09765625" style="1" customWidth="1"/>
    <col min="5" max="5" width="13" style="1" customWidth="1"/>
    <col min="6" max="6" width="12.8984375" style="1" customWidth="1"/>
    <col min="7" max="7" width="14.3984375" style="1" customWidth="1"/>
    <col min="8" max="8" width="12.69921875" style="1" customWidth="1"/>
    <col min="9" max="9" width="13.3984375" style="1" customWidth="1"/>
    <col min="10" max="10" width="14.3984375" style="1" customWidth="1"/>
    <col min="11" max="11" width="14.69921875" style="1" customWidth="1"/>
    <col min="12" max="12" width="14.19921875" style="1" customWidth="1"/>
    <col min="13" max="14" width="16.5" style="1" customWidth="1"/>
    <col min="15" max="15" width="11.19921875" style="162" customWidth="1"/>
    <col min="16" max="16" width="12.19921875" style="162" customWidth="1"/>
    <col min="17" max="17" width="8.69921875" style="162" customWidth="1"/>
    <col min="18" max="1024" width="8.69921875" style="1" customWidth="1"/>
    <col min="1025" max="1025" width="9" customWidth="1"/>
  </cols>
  <sheetData>
    <row r="1" spans="1:14" x14ac:dyDescent="0.3">
      <c r="B1" s="275"/>
      <c r="C1" s="275"/>
      <c r="M1" s="265" t="s">
        <v>328</v>
      </c>
      <c r="N1" s="265"/>
    </row>
    <row r="2" spans="1:14" x14ac:dyDescent="0.3">
      <c r="B2" s="2"/>
    </row>
    <row r="3" spans="1:14" x14ac:dyDescent="0.3">
      <c r="B3" s="2"/>
    </row>
    <row r="4" spans="1:14" x14ac:dyDescent="0.3">
      <c r="B4" s="2"/>
    </row>
    <row r="5" spans="1:14" x14ac:dyDescent="0.3">
      <c r="A5" s="265" t="s">
        <v>0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</row>
    <row r="6" spans="1:14" x14ac:dyDescent="0.3">
      <c r="A6" s="265" t="s">
        <v>273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</row>
    <row r="8" spans="1:14" x14ac:dyDescent="0.3">
      <c r="A8" s="265" t="s">
        <v>272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</row>
    <row r="9" spans="1:14" x14ac:dyDescent="0.3">
      <c r="A9" s="265" t="s">
        <v>292</v>
      </c>
      <c r="B9" s="265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</row>
    <row r="11" spans="1:14" x14ac:dyDescent="0.3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 t="s">
        <v>107</v>
      </c>
      <c r="L11" s="2" t="s">
        <v>108</v>
      </c>
      <c r="M11" s="2" t="s">
        <v>109</v>
      </c>
      <c r="N11" s="2" t="s">
        <v>110</v>
      </c>
    </row>
    <row r="12" spans="1:14" x14ac:dyDescent="0.3">
      <c r="A12" s="2" t="s">
        <v>111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4" ht="15.6" x14ac:dyDescent="0.3">
      <c r="A13" s="68" t="s">
        <v>112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500000</v>
      </c>
      <c r="M13" s="48">
        <v>0</v>
      </c>
      <c r="N13" s="69">
        <f>'2D'!B12</f>
        <v>500000</v>
      </c>
    </row>
    <row r="14" spans="1:14" ht="15.6" x14ac:dyDescent="0.3">
      <c r="A14" s="68" t="s">
        <v>68</v>
      </c>
      <c r="B14" s="48">
        <f>B13*0.175</f>
        <v>0</v>
      </c>
      <c r="C14" s="48">
        <f t="shared" ref="C14:H14" si="0">C13*0.175</f>
        <v>0</v>
      </c>
      <c r="D14" s="48">
        <f t="shared" si="0"/>
        <v>0</v>
      </c>
      <c r="E14" s="48">
        <f t="shared" si="0"/>
        <v>0</v>
      </c>
      <c r="F14" s="48">
        <f t="shared" si="0"/>
        <v>0</v>
      </c>
      <c r="G14" s="48">
        <f t="shared" si="0"/>
        <v>0</v>
      </c>
      <c r="H14" s="48">
        <f t="shared" si="0"/>
        <v>0</v>
      </c>
      <c r="I14" s="48">
        <v>0</v>
      </c>
      <c r="J14" s="48">
        <v>0</v>
      </c>
      <c r="K14" s="48">
        <v>0</v>
      </c>
      <c r="L14" s="48">
        <v>179950</v>
      </c>
      <c r="M14" s="48">
        <f>M13*1.18*0.15+M13*1.18*0.175</f>
        <v>0</v>
      </c>
      <c r="N14" s="69">
        <f>'2D'!B13</f>
        <v>179950</v>
      </c>
    </row>
    <row r="15" spans="1:14" ht="15.6" x14ac:dyDescent="0.3">
      <c r="A15" s="68" t="s">
        <v>69</v>
      </c>
      <c r="B15" s="48">
        <v>150000</v>
      </c>
      <c r="C15" s="48">
        <v>200000</v>
      </c>
      <c r="D15" s="48">
        <v>200000</v>
      </c>
      <c r="E15" s="48">
        <v>450000</v>
      </c>
      <c r="F15" s="48">
        <v>450000</v>
      </c>
      <c r="G15" s="48">
        <v>450000</v>
      </c>
      <c r="H15" s="48">
        <v>350000</v>
      </c>
      <c r="I15" s="48">
        <v>350000</v>
      </c>
      <c r="J15" s="48">
        <v>200000</v>
      </c>
      <c r="K15" s="48">
        <v>564370</v>
      </c>
      <c r="L15" s="48">
        <v>250000</v>
      </c>
      <c r="M15" s="48">
        <v>250000</v>
      </c>
      <c r="N15" s="69">
        <f>'2D'!B14</f>
        <v>3864370</v>
      </c>
    </row>
    <row r="16" spans="1:14" ht="15.6" x14ac:dyDescent="0.3">
      <c r="A16" s="68" t="s">
        <v>113</v>
      </c>
      <c r="B16" s="48">
        <v>0</v>
      </c>
      <c r="C16" s="48"/>
      <c r="D16" s="48">
        <v>17000</v>
      </c>
      <c r="E16" s="48">
        <v>1800000</v>
      </c>
      <c r="F16" s="48">
        <v>1200000</v>
      </c>
      <c r="G16" s="48">
        <v>900000</v>
      </c>
      <c r="H16" s="48"/>
      <c r="I16" s="48"/>
      <c r="J16" s="48"/>
      <c r="K16" s="48">
        <v>1800000</v>
      </c>
      <c r="L16" s="48">
        <v>1840000</v>
      </c>
      <c r="M16" s="48"/>
      <c r="N16" s="69">
        <f>'2D'!B15</f>
        <v>7557000</v>
      </c>
    </row>
    <row r="17" spans="1:1024" ht="15.6" x14ac:dyDescent="0.3">
      <c r="A17" s="68" t="s">
        <v>114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9389000</v>
      </c>
      <c r="M17" s="48">
        <v>0</v>
      </c>
      <c r="N17" s="69">
        <f>'2D'!B17</f>
        <v>9389000</v>
      </c>
    </row>
    <row r="18" spans="1:1024" ht="15.6" x14ac:dyDescent="0.3">
      <c r="A18" s="68" t="s">
        <v>293</v>
      </c>
      <c r="B18" s="48">
        <v>0</v>
      </c>
      <c r="C18" s="48">
        <v>0</v>
      </c>
      <c r="D18" s="48">
        <v>0</v>
      </c>
      <c r="E18" s="48">
        <v>96519160</v>
      </c>
      <c r="F18" s="48">
        <v>21000000</v>
      </c>
      <c r="G18" s="48">
        <v>11000000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f>92545698-2921206</f>
        <v>89624492</v>
      </c>
      <c r="N18" s="69">
        <f>'2D'!B20</f>
        <v>218143651.75</v>
      </c>
    </row>
    <row r="19" spans="1:1024" ht="15.6" x14ac:dyDescent="0.3">
      <c r="A19" s="70" t="s">
        <v>115</v>
      </c>
      <c r="B19" s="71">
        <f t="shared" ref="B19:M19" si="1">SUM(B13:B18)</f>
        <v>150000</v>
      </c>
      <c r="C19" s="71">
        <f t="shared" si="1"/>
        <v>200000</v>
      </c>
      <c r="D19" s="71">
        <f t="shared" si="1"/>
        <v>217000</v>
      </c>
      <c r="E19" s="71">
        <f t="shared" si="1"/>
        <v>98769160</v>
      </c>
      <c r="F19" s="71">
        <f t="shared" si="1"/>
        <v>22650000</v>
      </c>
      <c r="G19" s="71">
        <f t="shared" si="1"/>
        <v>12350000</v>
      </c>
      <c r="H19" s="71">
        <f t="shared" si="1"/>
        <v>350000</v>
      </c>
      <c r="I19" s="71">
        <f t="shared" si="1"/>
        <v>350000</v>
      </c>
      <c r="J19" s="71">
        <f t="shared" si="1"/>
        <v>200000</v>
      </c>
      <c r="K19" s="71">
        <f t="shared" si="1"/>
        <v>2364370</v>
      </c>
      <c r="L19" s="71">
        <f t="shared" si="1"/>
        <v>12158950</v>
      </c>
      <c r="M19" s="71">
        <f t="shared" si="1"/>
        <v>89874492</v>
      </c>
      <c r="N19" s="71">
        <f>SUM(N13:N18)</f>
        <v>239633971.75</v>
      </c>
    </row>
    <row r="21" spans="1:1024" x14ac:dyDescent="0.3">
      <c r="A21" s="2" t="s">
        <v>97</v>
      </c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 t="s">
        <v>105</v>
      </c>
      <c r="J21" s="2" t="s">
        <v>106</v>
      </c>
      <c r="K21" s="2" t="s">
        <v>107</v>
      </c>
      <c r="L21" s="2" t="s">
        <v>108</v>
      </c>
      <c r="M21" s="2" t="s">
        <v>109</v>
      </c>
      <c r="N21" s="2" t="s">
        <v>110</v>
      </c>
    </row>
    <row r="22" spans="1:1024" x14ac:dyDescent="0.3">
      <c r="A22" s="2" t="s">
        <v>116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024" ht="15.6" x14ac:dyDescent="0.3">
      <c r="A23" s="68" t="s">
        <v>161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69">
        <f>'2D'!B24</f>
        <v>0</v>
      </c>
    </row>
    <row r="24" spans="1:1024" ht="15.6" x14ac:dyDescent="0.3">
      <c r="A24" s="68" t="s">
        <v>54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69">
        <v>0</v>
      </c>
    </row>
    <row r="25" spans="1:1024" ht="15.6" x14ac:dyDescent="0.3">
      <c r="A25" s="68" t="s">
        <v>117</v>
      </c>
      <c r="B25" s="48">
        <v>0</v>
      </c>
      <c r="C25" s="48">
        <v>17000</v>
      </c>
      <c r="D25" s="48"/>
      <c r="E25" s="48"/>
      <c r="F25" s="48">
        <v>34133975</v>
      </c>
      <c r="G25" s="48"/>
      <c r="H25" s="48"/>
      <c r="I25" s="48"/>
      <c r="J25" s="48"/>
      <c r="K25" s="48">
        <v>34133975</v>
      </c>
      <c r="L25" s="48">
        <v>0</v>
      </c>
      <c r="M25" s="48">
        <v>0</v>
      </c>
      <c r="N25" s="69">
        <f>'4'!H15+'4'!D15+'4'!E15</f>
        <v>65366413</v>
      </c>
    </row>
    <row r="26" spans="1:1024" s="134" customFormat="1" ht="15.6" x14ac:dyDescent="0.3">
      <c r="A26" s="68" t="s">
        <v>165</v>
      </c>
      <c r="B26" s="48">
        <v>0</v>
      </c>
      <c r="C26" s="48">
        <v>0</v>
      </c>
      <c r="D26" s="48"/>
      <c r="E26" s="48">
        <v>9643000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69">
        <f>'2D'!B26</f>
        <v>9643000</v>
      </c>
      <c r="O26" s="162"/>
      <c r="P26" s="162"/>
      <c r="Q26" s="162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6" x14ac:dyDescent="0.3">
      <c r="A27" s="68" t="s">
        <v>157</v>
      </c>
      <c r="B27" s="48">
        <v>150000</v>
      </c>
      <c r="C27" s="48">
        <v>183000</v>
      </c>
      <c r="D27" s="48">
        <v>217000</v>
      </c>
      <c r="E27" s="48">
        <v>90000000</v>
      </c>
      <c r="F27" s="48"/>
      <c r="G27" s="48"/>
      <c r="H27" s="48">
        <v>400000</v>
      </c>
      <c r="I27" s="48">
        <v>300000</v>
      </c>
      <c r="J27" s="48">
        <v>200000</v>
      </c>
      <c r="K27" s="48"/>
      <c r="L27" s="48"/>
      <c r="M27" s="48">
        <v>73177228</v>
      </c>
      <c r="N27" s="69">
        <f>'2D'!B33</f>
        <v>164624559</v>
      </c>
    </row>
    <row r="28" spans="1:1024" ht="15.6" x14ac:dyDescent="0.3">
      <c r="A28" s="70" t="s">
        <v>118</v>
      </c>
      <c r="B28" s="71">
        <f>SUM(B23:B27)</f>
        <v>150000</v>
      </c>
      <c r="C28" s="71">
        <f t="shared" ref="C28:M28" si="2">SUM(C23:C27)</f>
        <v>200000</v>
      </c>
      <c r="D28" s="71">
        <f t="shared" si="2"/>
        <v>217000</v>
      </c>
      <c r="E28" s="71">
        <f t="shared" si="2"/>
        <v>99643000</v>
      </c>
      <c r="F28" s="71">
        <f t="shared" si="2"/>
        <v>34133975</v>
      </c>
      <c r="G28" s="71">
        <f t="shared" si="2"/>
        <v>0</v>
      </c>
      <c r="H28" s="71">
        <f t="shared" si="2"/>
        <v>400000</v>
      </c>
      <c r="I28" s="71">
        <f t="shared" si="2"/>
        <v>300000</v>
      </c>
      <c r="J28" s="71">
        <f>SUM(J23:J27)</f>
        <v>200000</v>
      </c>
      <c r="K28" s="71">
        <f t="shared" si="2"/>
        <v>34133975</v>
      </c>
      <c r="L28" s="71">
        <f t="shared" si="2"/>
        <v>0</v>
      </c>
      <c r="M28" s="71">
        <f t="shared" si="2"/>
        <v>73177228</v>
      </c>
      <c r="N28" s="71">
        <f>SUM(N23:N27)</f>
        <v>239633972</v>
      </c>
    </row>
    <row r="29" spans="1:1024" s="130" customFormat="1" x14ac:dyDescent="0.3">
      <c r="A29" s="1" t="s">
        <v>255</v>
      </c>
      <c r="B29" s="156">
        <f>B28-B19</f>
        <v>0</v>
      </c>
      <c r="C29" s="156">
        <f>B29+C28-C19</f>
        <v>0</v>
      </c>
      <c r="D29" s="156">
        <f t="shared" ref="D29:L29" si="3">C29+D28-D19</f>
        <v>0</v>
      </c>
      <c r="E29" s="156">
        <f t="shared" si="3"/>
        <v>873840</v>
      </c>
      <c r="F29" s="156">
        <f t="shared" si="3"/>
        <v>12357815</v>
      </c>
      <c r="G29" s="156">
        <f t="shared" si="3"/>
        <v>7815</v>
      </c>
      <c r="H29" s="156">
        <f t="shared" si="3"/>
        <v>57815</v>
      </c>
      <c r="I29" s="156">
        <f t="shared" si="3"/>
        <v>7815</v>
      </c>
      <c r="J29" s="156">
        <f t="shared" si="3"/>
        <v>7815</v>
      </c>
      <c r="K29" s="156">
        <f t="shared" si="3"/>
        <v>31777420</v>
      </c>
      <c r="L29" s="156">
        <f t="shared" si="3"/>
        <v>19618470</v>
      </c>
      <c r="M29" s="156">
        <f>L29+M28-M19</f>
        <v>2921206</v>
      </c>
      <c r="N29" s="1"/>
      <c r="O29" s="162"/>
      <c r="P29" s="162"/>
      <c r="Q29" s="162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3">
      <c r="A30" s="265" t="s">
        <v>88</v>
      </c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</row>
    <row r="32" spans="1:1024" x14ac:dyDescent="0.3">
      <c r="A32" s="265" t="s">
        <v>0</v>
      </c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</row>
    <row r="33" spans="1:17" x14ac:dyDescent="0.3">
      <c r="A33" s="265" t="s">
        <v>273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</row>
    <row r="35" spans="1:17" x14ac:dyDescent="0.3">
      <c r="A35" s="265" t="s">
        <v>164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</row>
    <row r="36" spans="1:17" x14ac:dyDescent="0.3">
      <c r="A36" s="265" t="s">
        <v>294</v>
      </c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</row>
    <row r="38" spans="1:17" x14ac:dyDescent="0.3">
      <c r="A38" s="2" t="s">
        <v>97</v>
      </c>
      <c r="B38" s="2" t="s">
        <v>98</v>
      </c>
      <c r="C38" s="2" t="s">
        <v>99</v>
      </c>
      <c r="D38" s="2" t="s">
        <v>100</v>
      </c>
      <c r="E38" s="2" t="s">
        <v>101</v>
      </c>
      <c r="F38" s="2" t="s">
        <v>102</v>
      </c>
      <c r="G38" s="2" t="s">
        <v>103</v>
      </c>
      <c r="H38" s="2" t="s">
        <v>104</v>
      </c>
      <c r="I38" s="2" t="s">
        <v>105</v>
      </c>
      <c r="J38" s="2" t="s">
        <v>106</v>
      </c>
      <c r="K38" s="2" t="s">
        <v>107</v>
      </c>
      <c r="L38" s="2" t="s">
        <v>108</v>
      </c>
      <c r="M38" s="2" t="s">
        <v>109</v>
      </c>
      <c r="N38" s="2" t="s">
        <v>110</v>
      </c>
    </row>
    <row r="39" spans="1:17" x14ac:dyDescent="0.3">
      <c r="A39" s="2" t="s">
        <v>111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</row>
    <row r="40" spans="1:17" ht="15.6" x14ac:dyDescent="0.3">
      <c r="A40" s="68" t="s">
        <v>112</v>
      </c>
      <c r="B40" s="48">
        <v>17699000</v>
      </c>
      <c r="C40" s="48">
        <f>17699000+1500000</f>
        <v>19199000</v>
      </c>
      <c r="D40" s="48">
        <f t="shared" ref="D40:M40" si="4">17699000+1500000</f>
        <v>19199000</v>
      </c>
      <c r="E40" s="48">
        <f t="shared" si="4"/>
        <v>19199000</v>
      </c>
      <c r="F40" s="48">
        <f t="shared" si="4"/>
        <v>19199000</v>
      </c>
      <c r="G40" s="48">
        <f>17699000+8849750+1500000</f>
        <v>28048750</v>
      </c>
      <c r="H40" s="48">
        <f t="shared" si="4"/>
        <v>19199000</v>
      </c>
      <c r="I40" s="48">
        <f t="shared" si="4"/>
        <v>19199000</v>
      </c>
      <c r="J40" s="48">
        <f t="shared" si="4"/>
        <v>19199000</v>
      </c>
      <c r="K40" s="48">
        <f t="shared" si="4"/>
        <v>19199000</v>
      </c>
      <c r="L40" s="48">
        <f>17699000+8849750+1897750</f>
        <v>28446500</v>
      </c>
      <c r="M40" s="48">
        <f t="shared" si="4"/>
        <v>19199000</v>
      </c>
      <c r="N40" s="69">
        <f>'2C'!B12</f>
        <v>246985250</v>
      </c>
      <c r="Q40" s="162">
        <f>P40/2</f>
        <v>0</v>
      </c>
    </row>
    <row r="41" spans="1:17" ht="15.6" x14ac:dyDescent="0.3">
      <c r="A41" s="68" t="s">
        <v>68</v>
      </c>
      <c r="B41" s="48">
        <f>B40*0.155</f>
        <v>2743345</v>
      </c>
      <c r="C41" s="48">
        <f t="shared" ref="C41:M41" si="5">C40*0.155</f>
        <v>2975845</v>
      </c>
      <c r="D41" s="48">
        <f t="shared" si="5"/>
        <v>2975845</v>
      </c>
      <c r="E41" s="48">
        <f>E40*0.155+1600000</f>
        <v>4575845</v>
      </c>
      <c r="F41" s="48">
        <f t="shared" si="5"/>
        <v>2975845</v>
      </c>
      <c r="G41" s="48">
        <f t="shared" si="5"/>
        <v>4347556.25</v>
      </c>
      <c r="H41" s="48">
        <f t="shared" si="5"/>
        <v>2975845</v>
      </c>
      <c r="I41" s="48">
        <f t="shared" si="5"/>
        <v>2975845</v>
      </c>
      <c r="J41" s="48">
        <f t="shared" si="5"/>
        <v>2975845</v>
      </c>
      <c r="K41" s="48">
        <f>K40*0.155+1678786</f>
        <v>4654631</v>
      </c>
      <c r="L41" s="48">
        <f t="shared" si="5"/>
        <v>4409207.5</v>
      </c>
      <c r="M41" s="48">
        <f t="shared" si="5"/>
        <v>2975845</v>
      </c>
      <c r="N41" s="69">
        <f>'2C'!B13</f>
        <v>41561500</v>
      </c>
    </row>
    <row r="42" spans="1:17" ht="15.6" x14ac:dyDescent="0.3">
      <c r="A42" s="68" t="s">
        <v>69</v>
      </c>
      <c r="B42" s="48">
        <v>2220000</v>
      </c>
      <c r="C42" s="48">
        <v>3250000</v>
      </c>
      <c r="D42" s="48">
        <v>3000000</v>
      </c>
      <c r="E42" s="48">
        <v>3000000</v>
      </c>
      <c r="F42" s="48">
        <v>3000000</v>
      </c>
      <c r="G42" s="48">
        <v>3000000</v>
      </c>
      <c r="H42" s="48">
        <v>3000000</v>
      </c>
      <c r="I42" s="48">
        <v>3000000</v>
      </c>
      <c r="J42" s="48">
        <v>3000000</v>
      </c>
      <c r="K42" s="48">
        <f>4681407-1932000</f>
        <v>2749407</v>
      </c>
      <c r="L42" s="48">
        <v>3450000</v>
      </c>
      <c r="M42" s="48">
        <v>3500593</v>
      </c>
      <c r="N42" s="69">
        <f>'2C'!B14</f>
        <v>36170000</v>
      </c>
    </row>
    <row r="43" spans="1:17" ht="15.6" x14ac:dyDescent="0.3">
      <c r="A43" s="68" t="s">
        <v>113</v>
      </c>
      <c r="B43" s="48">
        <v>37500</v>
      </c>
      <c r="C43" s="48">
        <v>37500</v>
      </c>
      <c r="D43" s="48">
        <v>37500</v>
      </c>
      <c r="E43" s="48">
        <v>37500</v>
      </c>
      <c r="F43" s="48">
        <v>37500</v>
      </c>
      <c r="G43" s="48">
        <v>37500</v>
      </c>
      <c r="H43" s="48">
        <v>37500</v>
      </c>
      <c r="I43" s="48">
        <v>37500</v>
      </c>
      <c r="J43" s="48">
        <v>37500</v>
      </c>
      <c r="K43" s="48">
        <v>37500</v>
      </c>
      <c r="L43" s="48">
        <v>37500</v>
      </c>
      <c r="M43" s="48">
        <v>37500</v>
      </c>
      <c r="N43" s="69">
        <f>'2C'!B15</f>
        <v>450000</v>
      </c>
    </row>
    <row r="44" spans="1:17" ht="15.6" x14ac:dyDescent="0.3">
      <c r="A44" s="68" t="s">
        <v>114</v>
      </c>
      <c r="B44" s="48">
        <v>0</v>
      </c>
      <c r="C44" s="48">
        <v>0</v>
      </c>
      <c r="D44" s="48">
        <v>0</v>
      </c>
      <c r="E44" s="48">
        <v>0</v>
      </c>
      <c r="F44" s="48">
        <v>1500000</v>
      </c>
      <c r="G44" s="48">
        <v>1829438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69">
        <f>'2C'!B16</f>
        <v>3329438</v>
      </c>
    </row>
    <row r="45" spans="1:17" ht="15.6" x14ac:dyDescent="0.3">
      <c r="A45" s="70" t="s">
        <v>115</v>
      </c>
      <c r="B45" s="71">
        <f>SUM(B40:B44)</f>
        <v>22699845</v>
      </c>
      <c r="C45" s="71">
        <f t="shared" ref="C45:N45" si="6">SUM(C40:C44)</f>
        <v>25462345</v>
      </c>
      <c r="D45" s="71">
        <f t="shared" si="6"/>
        <v>25212345</v>
      </c>
      <c r="E45" s="71">
        <f t="shared" si="6"/>
        <v>26812345</v>
      </c>
      <c r="F45" s="71">
        <f t="shared" si="6"/>
        <v>26712345</v>
      </c>
      <c r="G45" s="71">
        <f t="shared" si="6"/>
        <v>37263244.25</v>
      </c>
      <c r="H45" s="71">
        <f t="shared" si="6"/>
        <v>25212345</v>
      </c>
      <c r="I45" s="71">
        <f t="shared" si="6"/>
        <v>25212345</v>
      </c>
      <c r="J45" s="71">
        <f t="shared" si="6"/>
        <v>25212345</v>
      </c>
      <c r="K45" s="71">
        <f t="shared" si="6"/>
        <v>26640538</v>
      </c>
      <c r="L45" s="71">
        <f t="shared" si="6"/>
        <v>36343207.5</v>
      </c>
      <c r="M45" s="71">
        <f t="shared" si="6"/>
        <v>25712938</v>
      </c>
      <c r="N45" s="71">
        <f t="shared" si="6"/>
        <v>328496188</v>
      </c>
    </row>
    <row r="47" spans="1:17" x14ac:dyDescent="0.3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101</v>
      </c>
      <c r="F47" s="2" t="s">
        <v>102</v>
      </c>
      <c r="G47" s="2" t="s">
        <v>103</v>
      </c>
      <c r="H47" s="2" t="s">
        <v>104</v>
      </c>
      <c r="I47" s="2" t="s">
        <v>105</v>
      </c>
      <c r="J47" s="2" t="s">
        <v>106</v>
      </c>
      <c r="K47" s="2" t="s">
        <v>107</v>
      </c>
      <c r="L47" s="2" t="s">
        <v>108</v>
      </c>
      <c r="M47" s="2" t="s">
        <v>109</v>
      </c>
      <c r="N47" s="2" t="s">
        <v>110</v>
      </c>
    </row>
    <row r="48" spans="1:17" x14ac:dyDescent="0.3">
      <c r="A48" s="2" t="s">
        <v>116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</row>
    <row r="49" spans="1:14" ht="15.6" x14ac:dyDescent="0.3">
      <c r="A49" s="68" t="s">
        <v>161</v>
      </c>
      <c r="B49" s="48">
        <v>100000</v>
      </c>
      <c r="C49" s="48">
        <v>100000</v>
      </c>
      <c r="D49" s="48">
        <v>100000</v>
      </c>
      <c r="E49" s="48">
        <v>100000</v>
      </c>
      <c r="F49" s="48">
        <v>100000</v>
      </c>
      <c r="G49" s="48">
        <v>150000</v>
      </c>
      <c r="H49" s="48">
        <v>350000</v>
      </c>
      <c r="I49" s="48">
        <v>350000</v>
      </c>
      <c r="J49" s="48">
        <v>250000</v>
      </c>
      <c r="K49" s="48">
        <v>150000</v>
      </c>
      <c r="L49" s="48">
        <v>150000</v>
      </c>
      <c r="M49" s="48">
        <v>100000</v>
      </c>
      <c r="N49" s="69">
        <f>'2C'!B22</f>
        <v>2000000</v>
      </c>
    </row>
    <row r="50" spans="1:14" ht="15.6" x14ac:dyDescent="0.3">
      <c r="A50" s="68" t="s">
        <v>54</v>
      </c>
      <c r="B50" s="48">
        <v>13392608</v>
      </c>
      <c r="C50" s="48">
        <v>13392608</v>
      </c>
      <c r="D50" s="48">
        <v>13392608</v>
      </c>
      <c r="E50" s="48">
        <v>13392608</v>
      </c>
      <c r="F50" s="48">
        <v>13392608</v>
      </c>
      <c r="G50" s="48">
        <v>13392608</v>
      </c>
      <c r="H50" s="48">
        <v>13392608</v>
      </c>
      <c r="I50" s="48">
        <v>13392608</v>
      </c>
      <c r="J50" s="48">
        <v>13392608</v>
      </c>
      <c r="K50" s="48">
        <v>13392608</v>
      </c>
      <c r="L50" s="48">
        <v>13392608</v>
      </c>
      <c r="M50" s="48">
        <v>13392613</v>
      </c>
      <c r="N50" s="69">
        <f>'4'!C14</f>
        <v>160711301</v>
      </c>
    </row>
    <row r="51" spans="1:14" ht="15.6" x14ac:dyDescent="0.3">
      <c r="A51" s="68" t="s">
        <v>117</v>
      </c>
      <c r="B51" s="48">
        <v>12265803</v>
      </c>
      <c r="C51" s="48">
        <v>12265803</v>
      </c>
      <c r="D51" s="48">
        <v>12265803</v>
      </c>
      <c r="E51" s="48">
        <v>12265803</v>
      </c>
      <c r="F51" s="48">
        <v>12265803</v>
      </c>
      <c r="G51" s="48">
        <f>12265803+6132902</f>
        <v>18398705</v>
      </c>
      <c r="H51" s="48">
        <v>12265803</v>
      </c>
      <c r="I51" s="48">
        <v>12265803</v>
      </c>
      <c r="J51" s="48">
        <v>12265803</v>
      </c>
      <c r="K51" s="48">
        <v>12265803</v>
      </c>
      <c r="L51" s="48">
        <f>12265803+6132903+812563</f>
        <v>19211269</v>
      </c>
      <c r="M51" s="48">
        <v>12265803</v>
      </c>
      <c r="N51" s="69" t="e">
        <f>'4'!D14+'4'!E14+'4'!H14</f>
        <v>#REF!</v>
      </c>
    </row>
    <row r="52" spans="1:14" ht="15.6" x14ac:dyDescent="0.3">
      <c r="A52" s="68" t="s">
        <v>157</v>
      </c>
      <c r="B52" s="48">
        <v>0</v>
      </c>
      <c r="C52" s="48">
        <v>0</v>
      </c>
      <c r="D52" s="48">
        <v>0</v>
      </c>
      <c r="E52" s="48">
        <v>0</v>
      </c>
      <c r="F52" s="48">
        <v>0</v>
      </c>
      <c r="G52" s="48">
        <v>3429101</v>
      </c>
      <c r="H52" s="48"/>
      <c r="I52" s="48"/>
      <c r="J52" s="48"/>
      <c r="K52" s="48"/>
      <c r="L52" s="48">
        <f>2900345-812563</f>
        <v>2087782</v>
      </c>
      <c r="M52" s="48"/>
      <c r="N52" s="69">
        <f>'4'!I14</f>
        <v>5516883</v>
      </c>
    </row>
    <row r="53" spans="1:14" ht="15.6" x14ac:dyDescent="0.3">
      <c r="A53" s="70" t="s">
        <v>118</v>
      </c>
      <c r="B53" s="71">
        <f t="shared" ref="B53:M53" si="7">SUM(B49:B52)</f>
        <v>25758411</v>
      </c>
      <c r="C53" s="71">
        <f t="shared" si="7"/>
        <v>25758411</v>
      </c>
      <c r="D53" s="71">
        <f t="shared" si="7"/>
        <v>25758411</v>
      </c>
      <c r="E53" s="71">
        <f t="shared" si="7"/>
        <v>25758411</v>
      </c>
      <c r="F53" s="71">
        <f t="shared" si="7"/>
        <v>25758411</v>
      </c>
      <c r="G53" s="71">
        <f t="shared" si="7"/>
        <v>35370414</v>
      </c>
      <c r="H53" s="71">
        <f t="shared" si="7"/>
        <v>26008411</v>
      </c>
      <c r="I53" s="71">
        <f t="shared" si="7"/>
        <v>26008411</v>
      </c>
      <c r="J53" s="71">
        <f t="shared" si="7"/>
        <v>25908411</v>
      </c>
      <c r="K53" s="71">
        <f t="shared" si="7"/>
        <v>25808411</v>
      </c>
      <c r="L53" s="71">
        <f t="shared" si="7"/>
        <v>34841659</v>
      </c>
      <c r="M53" s="71">
        <f t="shared" si="7"/>
        <v>25758416</v>
      </c>
      <c r="N53" s="71" t="e">
        <f>SUM(N49:N52)</f>
        <v>#REF!</v>
      </c>
    </row>
    <row r="54" spans="1:14" x14ac:dyDescent="0.3">
      <c r="A54" s="1" t="s">
        <v>255</v>
      </c>
      <c r="B54" s="156">
        <f>B53-B45</f>
        <v>3058566</v>
      </c>
      <c r="C54" s="156">
        <f>B54+C53-C45</f>
        <v>3354632</v>
      </c>
      <c r="D54" s="156">
        <f>C54+D53-D45</f>
        <v>3900698</v>
      </c>
      <c r="E54" s="156">
        <f t="shared" ref="E54:N54" si="8">D54+E53-E45</f>
        <v>2846764</v>
      </c>
      <c r="F54" s="156">
        <f t="shared" si="8"/>
        <v>1892830</v>
      </c>
      <c r="G54" s="156">
        <f t="shared" si="8"/>
        <v>-0.25</v>
      </c>
      <c r="H54" s="156">
        <f t="shared" si="8"/>
        <v>796065.75</v>
      </c>
      <c r="I54" s="156">
        <f t="shared" si="8"/>
        <v>1592131.75</v>
      </c>
      <c r="J54" s="156">
        <f t="shared" si="8"/>
        <v>2288197.75</v>
      </c>
      <c r="K54" s="156">
        <f t="shared" si="8"/>
        <v>1456070.75</v>
      </c>
      <c r="L54" s="156">
        <f t="shared" si="8"/>
        <v>-45477.75</v>
      </c>
      <c r="M54" s="156">
        <f t="shared" si="8"/>
        <v>0.25</v>
      </c>
      <c r="N54" s="156" t="e">
        <f t="shared" si="8"/>
        <v>#REF!</v>
      </c>
    </row>
    <row r="56" spans="1:14" x14ac:dyDescent="0.3">
      <c r="A56" s="265" t="s">
        <v>0</v>
      </c>
      <c r="B56" s="265"/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  <c r="N56" s="265"/>
    </row>
    <row r="57" spans="1:14" x14ac:dyDescent="0.3">
      <c r="A57" s="265" t="s">
        <v>273</v>
      </c>
      <c r="B57" s="265"/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65"/>
      <c r="N57" s="265"/>
    </row>
    <row r="59" spans="1:14" x14ac:dyDescent="0.3">
      <c r="A59" s="284" t="s">
        <v>9</v>
      </c>
      <c r="B59" s="284"/>
      <c r="C59" s="284"/>
      <c r="D59" s="284"/>
      <c r="E59" s="284"/>
      <c r="F59" s="284"/>
      <c r="G59" s="284"/>
      <c r="H59" s="284"/>
      <c r="I59" s="284"/>
      <c r="J59" s="284"/>
      <c r="K59" s="284"/>
      <c r="L59" s="284"/>
      <c r="M59" s="284"/>
      <c r="N59" s="284"/>
    </row>
    <row r="60" spans="1:14" x14ac:dyDescent="0.3">
      <c r="A60" s="265" t="s">
        <v>292</v>
      </c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</row>
    <row r="62" spans="1:14" x14ac:dyDescent="0.3">
      <c r="A62" s="2" t="s">
        <v>97</v>
      </c>
      <c r="B62" s="2" t="s">
        <v>98</v>
      </c>
      <c r="C62" s="2" t="s">
        <v>99</v>
      </c>
      <c r="D62" s="2" t="s">
        <v>100</v>
      </c>
      <c r="E62" s="2" t="s">
        <v>101</v>
      </c>
      <c r="F62" s="2" t="s">
        <v>102</v>
      </c>
      <c r="G62" s="2" t="s">
        <v>103</v>
      </c>
      <c r="H62" s="2" t="s">
        <v>104</v>
      </c>
      <c r="I62" s="2" t="s">
        <v>105</v>
      </c>
      <c r="J62" s="2" t="s">
        <v>106</v>
      </c>
      <c r="K62" s="2" t="s">
        <v>107</v>
      </c>
      <c r="L62" s="2" t="s">
        <v>108</v>
      </c>
      <c r="M62" s="2" t="s">
        <v>109</v>
      </c>
      <c r="N62" s="2" t="s">
        <v>110</v>
      </c>
    </row>
    <row r="63" spans="1:14" x14ac:dyDescent="0.3">
      <c r="A63" s="2" t="s">
        <v>111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</row>
    <row r="64" spans="1:14" ht="15.6" x14ac:dyDescent="0.3">
      <c r="A64" s="68" t="s">
        <v>112</v>
      </c>
      <c r="B64" s="48">
        <f>41314615+1317187</f>
        <v>42631802</v>
      </c>
      <c r="C64" s="48">
        <f t="shared" ref="C64:M64" si="9">41314615+1317187</f>
        <v>42631802</v>
      </c>
      <c r="D64" s="48">
        <f t="shared" si="9"/>
        <v>42631802</v>
      </c>
      <c r="E64" s="48">
        <f t="shared" si="9"/>
        <v>42631802</v>
      </c>
      <c r="F64" s="48">
        <f t="shared" si="9"/>
        <v>42631802</v>
      </c>
      <c r="G64" s="48">
        <f>41314615+20657310+1317187</f>
        <v>63289112</v>
      </c>
      <c r="H64" s="48">
        <f t="shared" si="9"/>
        <v>42631802</v>
      </c>
      <c r="I64" s="48">
        <f t="shared" si="9"/>
        <v>42631802</v>
      </c>
      <c r="J64" s="48">
        <f t="shared" si="9"/>
        <v>42631802</v>
      </c>
      <c r="K64" s="48">
        <f t="shared" si="9"/>
        <v>42631802</v>
      </c>
      <c r="L64" s="48">
        <f>41314615+20657310+1281193</f>
        <v>63253118</v>
      </c>
      <c r="M64" s="48">
        <f t="shared" si="9"/>
        <v>42631802</v>
      </c>
      <c r="N64" s="69">
        <f>'2B'!B12</f>
        <v>552860250</v>
      </c>
    </row>
    <row r="65" spans="1:15" ht="15.6" x14ac:dyDescent="0.3">
      <c r="A65" s="68" t="s">
        <v>68</v>
      </c>
      <c r="B65" s="48">
        <f>B64*0.155</f>
        <v>6607929.3099999996</v>
      </c>
      <c r="C65" s="48">
        <f t="shared" ref="C65:M65" si="10">C64*0.155</f>
        <v>6607929.3099999996</v>
      </c>
      <c r="D65" s="48">
        <f t="shared" si="10"/>
        <v>6607929.3099999996</v>
      </c>
      <c r="E65" s="48">
        <f t="shared" si="10"/>
        <v>6607929.3099999996</v>
      </c>
      <c r="F65" s="48">
        <f t="shared" si="10"/>
        <v>6607929.3099999996</v>
      </c>
      <c r="G65" s="48">
        <f>G64*0.155+4384430</f>
        <v>14194242.359999999</v>
      </c>
      <c r="H65" s="48">
        <f t="shared" si="10"/>
        <v>6607929.3099999996</v>
      </c>
      <c r="I65" s="48">
        <f t="shared" si="10"/>
        <v>6607929.3099999996</v>
      </c>
      <c r="J65" s="48">
        <f t="shared" si="10"/>
        <v>6607929.3099999996</v>
      </c>
      <c r="K65" s="48">
        <f t="shared" si="10"/>
        <v>6607929.3099999996</v>
      </c>
      <c r="L65" s="48">
        <f>L64*0.155+4384431+4</f>
        <v>14188668.289999999</v>
      </c>
      <c r="M65" s="48">
        <f t="shared" si="10"/>
        <v>6607929.3099999996</v>
      </c>
      <c r="N65" s="69">
        <f>'2B'!B13</f>
        <v>94462200</v>
      </c>
    </row>
    <row r="66" spans="1:15" ht="15.6" x14ac:dyDescent="0.3">
      <c r="A66" s="68" t="s">
        <v>69</v>
      </c>
      <c r="B66" s="48">
        <f>16105833+3557000</f>
        <v>19662833</v>
      </c>
      <c r="C66" s="48">
        <f>18825000+3557000</f>
        <v>22382000</v>
      </c>
      <c r="D66" s="48">
        <v>23500000</v>
      </c>
      <c r="E66" s="48">
        <v>23500000</v>
      </c>
      <c r="F66" s="48">
        <v>23500000</v>
      </c>
      <c r="G66" s="48">
        <v>23500000</v>
      </c>
      <c r="H66" s="48">
        <v>23500000</v>
      </c>
      <c r="I66" s="48">
        <v>23500000</v>
      </c>
      <c r="J66" s="48">
        <f>23500000+2648931</f>
        <v>26148931</v>
      </c>
      <c r="K66" s="48">
        <v>23500000</v>
      </c>
      <c r="L66" s="48">
        <v>23500000</v>
      </c>
      <c r="M66" s="48">
        <f>18825000+2706329+5964907</f>
        <v>27496236</v>
      </c>
      <c r="N66" s="69">
        <f>'2B'!B14</f>
        <v>283690000</v>
      </c>
    </row>
    <row r="67" spans="1:15" ht="15.6" x14ac:dyDescent="0.3">
      <c r="A67" s="68" t="s">
        <v>113</v>
      </c>
      <c r="B67" s="48">
        <v>50000</v>
      </c>
      <c r="C67" s="48">
        <v>50000</v>
      </c>
      <c r="D67" s="48">
        <v>67000</v>
      </c>
      <c r="E67" s="48">
        <v>50000</v>
      </c>
      <c r="F67" s="48">
        <v>50000</v>
      </c>
      <c r="G67" s="48">
        <v>50000</v>
      </c>
      <c r="H67" s="48">
        <v>50000</v>
      </c>
      <c r="I67" s="48">
        <v>50000</v>
      </c>
      <c r="J67" s="48">
        <v>50000</v>
      </c>
      <c r="K67" s="48">
        <v>50000</v>
      </c>
      <c r="L67" s="48">
        <v>50000</v>
      </c>
      <c r="M67" s="48">
        <v>50000</v>
      </c>
      <c r="N67" s="69">
        <f>'2B'!B16</f>
        <v>17000</v>
      </c>
    </row>
    <row r="68" spans="1:15" ht="15.6" x14ac:dyDescent="0.3">
      <c r="A68" s="68" t="s">
        <v>114</v>
      </c>
      <c r="B68" s="48">
        <v>0</v>
      </c>
      <c r="C68" s="48">
        <v>0</v>
      </c>
      <c r="D68" s="48">
        <v>0</v>
      </c>
      <c r="E68" s="48">
        <v>5000000</v>
      </c>
      <c r="F68" s="48">
        <v>5000000</v>
      </c>
      <c r="G68" s="48">
        <v>5000000</v>
      </c>
      <c r="H68" s="48">
        <v>5000000</v>
      </c>
      <c r="I68" s="48">
        <v>5000000</v>
      </c>
      <c r="J68" s="48">
        <v>2932931</v>
      </c>
      <c r="K68" s="48">
        <v>0</v>
      </c>
      <c r="L68" s="48">
        <v>0</v>
      </c>
      <c r="M68" s="48">
        <v>0</v>
      </c>
      <c r="N68" s="69">
        <f>'2B'!B17</f>
        <v>27932931</v>
      </c>
    </row>
    <row r="69" spans="1:15" ht="15.6" x14ac:dyDescent="0.3">
      <c r="A69" s="70" t="s">
        <v>115</v>
      </c>
      <c r="B69" s="71">
        <f t="shared" ref="B69:N69" si="11">SUM(B64:B68)</f>
        <v>68952564.310000002</v>
      </c>
      <c r="C69" s="71">
        <f t="shared" si="11"/>
        <v>71671731.310000002</v>
      </c>
      <c r="D69" s="71">
        <f t="shared" si="11"/>
        <v>72806731.310000002</v>
      </c>
      <c r="E69" s="71">
        <f t="shared" si="11"/>
        <v>77789731.310000002</v>
      </c>
      <c r="F69" s="71">
        <f t="shared" si="11"/>
        <v>77789731.310000002</v>
      </c>
      <c r="G69" s="71">
        <f t="shared" si="11"/>
        <v>106033354.36</v>
      </c>
      <c r="H69" s="71">
        <f t="shared" si="11"/>
        <v>77789731.310000002</v>
      </c>
      <c r="I69" s="71">
        <f t="shared" si="11"/>
        <v>77789731.310000002</v>
      </c>
      <c r="J69" s="71">
        <f t="shared" si="11"/>
        <v>78371593.310000002</v>
      </c>
      <c r="K69" s="71">
        <f t="shared" si="11"/>
        <v>72789731.310000002</v>
      </c>
      <c r="L69" s="71">
        <f t="shared" si="11"/>
        <v>100991786.28999999</v>
      </c>
      <c r="M69" s="71">
        <f t="shared" si="11"/>
        <v>76785967.310000002</v>
      </c>
      <c r="N69" s="71">
        <f t="shared" si="11"/>
        <v>958962381</v>
      </c>
      <c r="O69" s="234"/>
    </row>
    <row r="71" spans="1:15" x14ac:dyDescent="0.3">
      <c r="A71" s="2" t="s">
        <v>97</v>
      </c>
      <c r="B71" s="2" t="s">
        <v>98</v>
      </c>
      <c r="C71" s="2" t="s">
        <v>99</v>
      </c>
      <c r="D71" s="2" t="s">
        <v>100</v>
      </c>
      <c r="E71" s="2" t="s">
        <v>101</v>
      </c>
      <c r="F71" s="2" t="s">
        <v>102</v>
      </c>
      <c r="G71" s="2" t="s">
        <v>103</v>
      </c>
      <c r="H71" s="2" t="s">
        <v>104</v>
      </c>
      <c r="I71" s="2" t="s">
        <v>105</v>
      </c>
      <c r="J71" s="2" t="s">
        <v>106</v>
      </c>
      <c r="K71" s="2" t="s">
        <v>107</v>
      </c>
      <c r="L71" s="2" t="s">
        <v>108</v>
      </c>
      <c r="M71" s="2" t="s">
        <v>109</v>
      </c>
      <c r="N71" s="2" t="s">
        <v>110</v>
      </c>
    </row>
    <row r="72" spans="1:15" x14ac:dyDescent="0.3">
      <c r="A72" s="2" t="s">
        <v>116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</row>
    <row r="73" spans="1:15" ht="15.6" x14ac:dyDescent="0.3">
      <c r="A73" s="68" t="s">
        <v>161</v>
      </c>
      <c r="B73" s="48">
        <v>24675000</v>
      </c>
      <c r="C73" s="48">
        <v>24675000</v>
      </c>
      <c r="D73" s="48">
        <v>24675000</v>
      </c>
      <c r="E73" s="48">
        <v>24675000</v>
      </c>
      <c r="F73" s="48">
        <v>24675000</v>
      </c>
      <c r="G73" s="48">
        <v>24675000</v>
      </c>
      <c r="H73" s="48">
        <v>24675000</v>
      </c>
      <c r="I73" s="48">
        <v>24675000</v>
      </c>
      <c r="J73" s="48">
        <v>24675000</v>
      </c>
      <c r="K73" s="48">
        <v>24675000</v>
      </c>
      <c r="L73" s="48">
        <v>24675000</v>
      </c>
      <c r="M73" s="48">
        <v>24675000</v>
      </c>
      <c r="N73" s="69">
        <f>'2B'!B23</f>
        <v>296100000</v>
      </c>
    </row>
    <row r="74" spans="1:15" ht="15.6" x14ac:dyDescent="0.3">
      <c r="A74" s="68" t="s">
        <v>54</v>
      </c>
      <c r="B74" s="48">
        <v>30296415</v>
      </c>
      <c r="C74" s="48">
        <v>30296415</v>
      </c>
      <c r="D74" s="48">
        <v>30296415</v>
      </c>
      <c r="E74" s="48">
        <v>30296415</v>
      </c>
      <c r="F74" s="48">
        <v>30296415</v>
      </c>
      <c r="G74" s="48">
        <v>30296415</v>
      </c>
      <c r="H74" s="48">
        <v>30296415</v>
      </c>
      <c r="I74" s="48">
        <v>30296415</v>
      </c>
      <c r="J74" s="48">
        <v>30296415</v>
      </c>
      <c r="K74" s="48">
        <v>30296415</v>
      </c>
      <c r="L74" s="48">
        <v>30296415</v>
      </c>
      <c r="M74" s="48">
        <v>30296411</v>
      </c>
      <c r="N74" s="69">
        <f>'4'!C13</f>
        <v>363556976</v>
      </c>
    </row>
    <row r="75" spans="1:15" ht="15.6" x14ac:dyDescent="0.3">
      <c r="A75" s="68" t="s">
        <v>117</v>
      </c>
      <c r="B75" s="48">
        <v>21001937</v>
      </c>
      <c r="C75" s="48">
        <v>21001937</v>
      </c>
      <c r="D75" s="48">
        <v>21001937</v>
      </c>
      <c r="E75" s="48">
        <v>21001937</v>
      </c>
      <c r="F75" s="48">
        <v>21001937</v>
      </c>
      <c r="G75" s="48">
        <v>21001937</v>
      </c>
      <c r="H75" s="48">
        <v>21001937</v>
      </c>
      <c r="I75" s="48">
        <v>21001937</v>
      </c>
      <c r="J75" s="48">
        <v>21001937</v>
      </c>
      <c r="K75" s="48">
        <v>21001937</v>
      </c>
      <c r="L75" s="48">
        <f>21001937+2105974</f>
        <v>23107911</v>
      </c>
      <c r="M75" s="48">
        <v>21001942</v>
      </c>
      <c r="N75" s="69">
        <f>'4'!D13+'4'!E13+'4'!G13+'4'!H13</f>
        <v>252023249</v>
      </c>
    </row>
    <row r="76" spans="1:15" ht="15.6" x14ac:dyDescent="0.3">
      <c r="A76" s="68" t="s">
        <v>157</v>
      </c>
      <c r="B76" s="48">
        <v>0</v>
      </c>
      <c r="C76" s="48">
        <v>0</v>
      </c>
      <c r="D76" s="48">
        <v>0</v>
      </c>
      <c r="E76" s="48">
        <v>0</v>
      </c>
      <c r="F76" s="48">
        <v>0</v>
      </c>
      <c r="G76" s="48">
        <v>19210000</v>
      </c>
      <c r="H76" s="48">
        <v>1820000</v>
      </c>
      <c r="I76" s="48">
        <v>1810000</v>
      </c>
      <c r="J76" s="48">
        <v>2400000</v>
      </c>
      <c r="K76" s="48">
        <v>0</v>
      </c>
      <c r="L76" s="48">
        <f>21900000-2105974</f>
        <v>19794026</v>
      </c>
      <c r="M76" s="48">
        <v>742156</v>
      </c>
      <c r="N76" s="69">
        <f>'4'!I13</f>
        <v>45776182</v>
      </c>
    </row>
    <row r="77" spans="1:15" ht="15.6" x14ac:dyDescent="0.3">
      <c r="A77" s="70" t="s">
        <v>118</v>
      </c>
      <c r="B77" s="71">
        <f t="shared" ref="B77:N77" si="12">SUM(B73:B76)</f>
        <v>75973352</v>
      </c>
      <c r="C77" s="71">
        <f t="shared" si="12"/>
        <v>75973352</v>
      </c>
      <c r="D77" s="71">
        <f t="shared" si="12"/>
        <v>75973352</v>
      </c>
      <c r="E77" s="71">
        <f t="shared" si="12"/>
        <v>75973352</v>
      </c>
      <c r="F77" s="71">
        <f t="shared" si="12"/>
        <v>75973352</v>
      </c>
      <c r="G77" s="71">
        <f t="shared" si="12"/>
        <v>95183352</v>
      </c>
      <c r="H77" s="71">
        <f t="shared" si="12"/>
        <v>77793352</v>
      </c>
      <c r="I77" s="71">
        <f t="shared" si="12"/>
        <v>77783352</v>
      </c>
      <c r="J77" s="71">
        <f t="shared" si="12"/>
        <v>78373352</v>
      </c>
      <c r="K77" s="71">
        <f t="shared" si="12"/>
        <v>75973352</v>
      </c>
      <c r="L77" s="71">
        <f t="shared" si="12"/>
        <v>97873352</v>
      </c>
      <c r="M77" s="71">
        <f t="shared" si="12"/>
        <v>76715509</v>
      </c>
      <c r="N77" s="71">
        <f t="shared" si="12"/>
        <v>957456407</v>
      </c>
      <c r="O77" s="234"/>
    </row>
    <row r="78" spans="1:15" x14ac:dyDescent="0.3">
      <c r="A78" s="1" t="s">
        <v>255</v>
      </c>
      <c r="B78" s="156">
        <f>B77-B69</f>
        <v>7020787.6899999976</v>
      </c>
      <c r="C78" s="156">
        <f>B78+C77-C69</f>
        <v>11322408.379999995</v>
      </c>
      <c r="D78" s="156">
        <f t="shared" ref="D78:N78" si="13">C78+D77-D69</f>
        <v>14489029.069999993</v>
      </c>
      <c r="E78" s="156">
        <f t="shared" si="13"/>
        <v>12672649.75999999</v>
      </c>
      <c r="F78" s="156">
        <f t="shared" si="13"/>
        <v>10856270.449999988</v>
      </c>
      <c r="G78" s="156">
        <f t="shared" si="13"/>
        <v>6268.0899999886751</v>
      </c>
      <c r="H78" s="156">
        <f t="shared" si="13"/>
        <v>9888.7799999862909</v>
      </c>
      <c r="I78" s="156">
        <f t="shared" si="13"/>
        <v>3509.4699999839067</v>
      </c>
      <c r="J78" s="156">
        <f t="shared" si="13"/>
        <v>5268.1599999815226</v>
      </c>
      <c r="K78" s="156">
        <f t="shared" si="13"/>
        <v>3188888.8499999791</v>
      </c>
      <c r="L78" s="156">
        <f t="shared" si="13"/>
        <v>70454.559999987483</v>
      </c>
      <c r="M78" s="156">
        <f>L78+M77-M69+4</f>
        <v>0.24999998509883881</v>
      </c>
      <c r="N78" s="156">
        <f t="shared" si="13"/>
        <v>-1505973.75</v>
      </c>
    </row>
    <row r="80" spans="1:15" x14ac:dyDescent="0.3">
      <c r="A80" s="285" t="s">
        <v>96</v>
      </c>
      <c r="B80" s="285"/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85"/>
      <c r="N80" s="285"/>
    </row>
    <row r="81" spans="1:1" x14ac:dyDescent="0.3">
      <c r="A81" s="1" t="s">
        <v>339</v>
      </c>
    </row>
  </sheetData>
  <mergeCells count="16">
    <mergeCell ref="A57:N57"/>
    <mergeCell ref="A59:N59"/>
    <mergeCell ref="A60:N60"/>
    <mergeCell ref="A80:N80"/>
    <mergeCell ref="A30:N30"/>
    <mergeCell ref="A32:N32"/>
    <mergeCell ref="A33:N33"/>
    <mergeCell ref="A35:N35"/>
    <mergeCell ref="A36:N36"/>
    <mergeCell ref="A56:N56"/>
    <mergeCell ref="A9:N9"/>
    <mergeCell ref="B1:C1"/>
    <mergeCell ref="M1:N1"/>
    <mergeCell ref="A5:N5"/>
    <mergeCell ref="A6:N6"/>
    <mergeCell ref="A8:N8"/>
  </mergeCells>
  <pageMargins left="0.70826771653543308" right="0.70826771653543308" top="1.1417322834645671" bottom="1.1417322834645671" header="0.74803149606299213" footer="0.74803149606299213"/>
  <pageSetup paperSize="9" scale="36" orientation="landscape" r:id="rId1"/>
  <headerFooter alignWithMargins="0"/>
  <rowBreaks count="1" manualBreakCount="1">
    <brk id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34"/>
  <sheetViews>
    <sheetView workbookViewId="0">
      <selection activeCell="A6" sqref="A6"/>
    </sheetView>
  </sheetViews>
  <sheetFormatPr defaultRowHeight="14.4" x14ac:dyDescent="0.3"/>
  <cols>
    <col min="1" max="1" width="33.5" style="1" customWidth="1"/>
    <col min="2" max="3" width="13" style="1" customWidth="1"/>
    <col min="4" max="4" width="17" style="1" customWidth="1"/>
    <col min="5" max="1022" width="8.69921875" style="1" customWidth="1"/>
    <col min="1023" max="1023" width="9" customWidth="1"/>
  </cols>
  <sheetData>
    <row r="1" spans="1:1022" ht="15.6" x14ac:dyDescent="0.3">
      <c r="A1" s="72"/>
      <c r="C1" s="265" t="s">
        <v>367</v>
      </c>
      <c r="D1" s="265"/>
    </row>
    <row r="2" spans="1:1022" ht="15.6" x14ac:dyDescent="0.3">
      <c r="A2" s="73"/>
    </row>
    <row r="3" spans="1:1022" ht="15.6" x14ac:dyDescent="0.3">
      <c r="A3" s="267" t="s">
        <v>7</v>
      </c>
      <c r="B3" s="267"/>
      <c r="C3" s="267"/>
      <c r="D3" s="267"/>
    </row>
    <row r="4" spans="1:1022" ht="15.6" x14ac:dyDescent="0.3">
      <c r="A4" s="267" t="s">
        <v>119</v>
      </c>
      <c r="B4" s="267"/>
      <c r="C4" s="267"/>
      <c r="D4" s="267"/>
    </row>
    <row r="5" spans="1:1022" ht="15.6" x14ac:dyDescent="0.3">
      <c r="A5" s="267" t="s">
        <v>368</v>
      </c>
      <c r="B5" s="267"/>
      <c r="C5" s="267"/>
      <c r="D5" s="267"/>
      <c r="G5"/>
    </row>
    <row r="6" spans="1:1022" ht="15.6" x14ac:dyDescent="0.3">
      <c r="A6" s="74"/>
      <c r="G6"/>
    </row>
    <row r="7" spans="1:1022" ht="15.75" customHeight="1" x14ac:dyDescent="0.3">
      <c r="A7" s="286" t="s">
        <v>120</v>
      </c>
      <c r="B7" s="286"/>
      <c r="C7" s="286"/>
      <c r="D7" s="286"/>
    </row>
    <row r="8" spans="1:1022" x14ac:dyDescent="0.3">
      <c r="A8" s="75"/>
      <c r="G8"/>
    </row>
    <row r="9" spans="1:1022" ht="16.2" thickBot="1" x14ac:dyDescent="0.35">
      <c r="B9" s="76" t="s">
        <v>121</v>
      </c>
      <c r="C9" s="123"/>
      <c r="D9" s="4"/>
    </row>
    <row r="10" spans="1:1022" ht="33" customHeight="1" thickTop="1" x14ac:dyDescent="0.3">
      <c r="A10" s="77" t="s">
        <v>5</v>
      </c>
      <c r="B10" s="78" t="s">
        <v>295</v>
      </c>
      <c r="C10" s="77" t="s">
        <v>122</v>
      </c>
      <c r="AMH10"/>
    </row>
    <row r="11" spans="1:1022" ht="15.6" x14ac:dyDescent="0.3">
      <c r="A11" s="79" t="s">
        <v>123</v>
      </c>
      <c r="B11" s="80" t="s">
        <v>124</v>
      </c>
      <c r="C11" s="81"/>
      <c r="AMH11"/>
    </row>
    <row r="12" spans="1:1022" ht="16.5" customHeight="1" thickBot="1" x14ac:dyDescent="0.35">
      <c r="A12" s="82"/>
      <c r="B12" s="83" t="s">
        <v>125</v>
      </c>
      <c r="C12" s="81"/>
      <c r="AMH12"/>
    </row>
    <row r="13" spans="1:1022" ht="47.25" customHeight="1" thickTop="1" x14ac:dyDescent="0.3">
      <c r="A13" s="135" t="s">
        <v>164</v>
      </c>
      <c r="B13" s="85">
        <f>SUM(B14:B17)</f>
        <v>58.5</v>
      </c>
      <c r="C13" s="86">
        <v>0</v>
      </c>
      <c r="AMH13"/>
    </row>
    <row r="14" spans="1:1022" ht="19.5" customHeight="1" x14ac:dyDescent="0.3">
      <c r="A14" s="87" t="s">
        <v>126</v>
      </c>
      <c r="B14" s="88">
        <v>8.5</v>
      </c>
      <c r="C14" s="89">
        <v>0</v>
      </c>
      <c r="AMH14"/>
    </row>
    <row r="15" spans="1:1022" ht="21.75" customHeight="1" x14ac:dyDescent="0.3">
      <c r="A15" s="87" t="s">
        <v>175</v>
      </c>
      <c r="B15" s="88">
        <v>16</v>
      </c>
      <c r="C15" s="89">
        <v>0</v>
      </c>
      <c r="AMH15"/>
    </row>
    <row r="16" spans="1:1022" ht="42.75" customHeight="1" x14ac:dyDescent="0.3">
      <c r="A16" s="87" t="s">
        <v>176</v>
      </c>
      <c r="B16" s="88">
        <v>23</v>
      </c>
      <c r="C16" s="89">
        <v>0</v>
      </c>
      <c r="AMH16"/>
    </row>
    <row r="17" spans="1:1022" s="151" customFormat="1" ht="42.75" customHeight="1" x14ac:dyDescent="0.3">
      <c r="A17" s="153" t="s">
        <v>228</v>
      </c>
      <c r="B17" s="152">
        <v>11</v>
      </c>
      <c r="C17" s="8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2" ht="37.5" customHeight="1" x14ac:dyDescent="0.3">
      <c r="A18" s="84" t="s">
        <v>95</v>
      </c>
      <c r="B18" s="141">
        <f>SUM(B19:B30)</f>
        <v>159</v>
      </c>
      <c r="C18" s="86">
        <f>SUM(C19:C30)</f>
        <v>0</v>
      </c>
      <c r="AMH18"/>
    </row>
    <row r="19" spans="1:1022" ht="33.75" customHeight="1" x14ac:dyDescent="0.3">
      <c r="A19" s="181" t="s">
        <v>127</v>
      </c>
      <c r="B19" s="142">
        <v>48</v>
      </c>
      <c r="C19" s="89">
        <v>0</v>
      </c>
      <c r="AMH19"/>
    </row>
    <row r="20" spans="1:1022" ht="21" customHeight="1" x14ac:dyDescent="0.3">
      <c r="A20" s="181" t="s">
        <v>296</v>
      </c>
      <c r="B20" s="142">
        <v>36</v>
      </c>
      <c r="C20" s="89">
        <v>0</v>
      </c>
      <c r="AMH20"/>
    </row>
    <row r="21" spans="1:1022" ht="19.5" customHeight="1" x14ac:dyDescent="0.3">
      <c r="A21" s="181" t="s">
        <v>148</v>
      </c>
      <c r="B21" s="142">
        <v>9</v>
      </c>
      <c r="C21" s="89">
        <v>0</v>
      </c>
      <c r="AMH21"/>
    </row>
    <row r="22" spans="1:1022" ht="18" customHeight="1" x14ac:dyDescent="0.3">
      <c r="A22" s="181" t="s">
        <v>177</v>
      </c>
      <c r="B22" s="142">
        <v>15</v>
      </c>
      <c r="C22" s="89">
        <v>0</v>
      </c>
      <c r="AMH22"/>
    </row>
    <row r="23" spans="1:1022" ht="18" customHeight="1" x14ac:dyDescent="0.3">
      <c r="A23" s="181" t="s">
        <v>178</v>
      </c>
      <c r="B23" s="142">
        <v>6</v>
      </c>
      <c r="C23" s="89">
        <v>0</v>
      </c>
      <c r="AMH23"/>
    </row>
    <row r="24" spans="1:1022" ht="16.5" customHeight="1" x14ac:dyDescent="0.3">
      <c r="A24" s="181" t="s">
        <v>297</v>
      </c>
      <c r="B24" s="142">
        <v>3</v>
      </c>
      <c r="C24" s="89">
        <v>0</v>
      </c>
      <c r="AMH24"/>
    </row>
    <row r="25" spans="1:1022" s="160" customFormat="1" ht="16.5" customHeight="1" x14ac:dyDescent="0.3">
      <c r="A25" s="181" t="s">
        <v>256</v>
      </c>
      <c r="B25" s="142">
        <v>2</v>
      </c>
      <c r="C25" s="8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2" s="176" customFormat="1" ht="16.5" customHeight="1" x14ac:dyDescent="0.3">
      <c r="A26" s="181" t="s">
        <v>298</v>
      </c>
      <c r="B26" s="142">
        <v>2</v>
      </c>
      <c r="C26" s="8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2" ht="18.75" customHeight="1" x14ac:dyDescent="0.3">
      <c r="A27" s="181" t="s">
        <v>128</v>
      </c>
      <c r="B27" s="142">
        <v>1</v>
      </c>
      <c r="C27" s="89">
        <v>0</v>
      </c>
      <c r="AMH27"/>
    </row>
    <row r="28" spans="1:1022" ht="18" customHeight="1" x14ac:dyDescent="0.3">
      <c r="A28" s="181" t="s">
        <v>129</v>
      </c>
      <c r="B28" s="142">
        <v>34</v>
      </c>
      <c r="C28" s="89">
        <v>0</v>
      </c>
      <c r="AMH28"/>
    </row>
    <row r="29" spans="1:1022" ht="18.75" customHeight="1" x14ac:dyDescent="0.3">
      <c r="A29" s="181" t="s">
        <v>130</v>
      </c>
      <c r="B29" s="142">
        <v>1</v>
      </c>
      <c r="C29" s="89">
        <v>0</v>
      </c>
      <c r="AMH29"/>
    </row>
    <row r="30" spans="1:1022" ht="18" customHeight="1" x14ac:dyDescent="0.3">
      <c r="A30" s="181" t="s">
        <v>131</v>
      </c>
      <c r="B30" s="142">
        <v>2</v>
      </c>
      <c r="C30" s="89">
        <v>0</v>
      </c>
      <c r="AMH30"/>
    </row>
    <row r="31" spans="1:1022" ht="62.25" customHeight="1" x14ac:dyDescent="0.3">
      <c r="A31" s="182" t="s">
        <v>195</v>
      </c>
      <c r="B31" s="140">
        <v>0</v>
      </c>
      <c r="C31" s="90">
        <v>0</v>
      </c>
      <c r="AMH31"/>
    </row>
    <row r="32" spans="1:1022" ht="21.75" customHeight="1" x14ac:dyDescent="0.3">
      <c r="A32" s="84" t="s">
        <v>87</v>
      </c>
      <c r="B32" s="85">
        <f>SUM(B13+B18+B31)</f>
        <v>217.5</v>
      </c>
      <c r="C32" s="86">
        <f>SUM(C13+C18+C31)</f>
        <v>0</v>
      </c>
      <c r="AMH32"/>
    </row>
    <row r="34" spans="1:1" x14ac:dyDescent="0.3">
      <c r="A34" s="1" t="s">
        <v>345</v>
      </c>
    </row>
  </sheetData>
  <mergeCells count="5">
    <mergeCell ref="A3:D3"/>
    <mergeCell ref="A4:D4"/>
    <mergeCell ref="A5:D5"/>
    <mergeCell ref="A7:D7"/>
    <mergeCell ref="C1:D1"/>
  </mergeCells>
  <pageMargins left="0.70000000000000007" right="0.70000000000000007" top="1.1437007874015752" bottom="1.1437007874015752" header="0.75000000000000011" footer="0.75000000000000011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3"/>
  <sheetViews>
    <sheetView workbookViewId="0">
      <selection activeCell="A34" sqref="A34"/>
    </sheetView>
  </sheetViews>
  <sheetFormatPr defaultRowHeight="14.4" x14ac:dyDescent="0.3"/>
  <cols>
    <col min="1" max="1" width="13.09765625" style="1" customWidth="1"/>
    <col min="2" max="2" width="33.59765625" style="1" customWidth="1"/>
    <col min="3" max="3" width="16.8984375" style="1" customWidth="1"/>
    <col min="4" max="4" width="13.8984375" style="1" customWidth="1"/>
    <col min="5" max="5" width="17.59765625" style="1" customWidth="1"/>
    <col min="6" max="6" width="8.69921875" style="1" customWidth="1"/>
    <col min="7" max="7" width="8.69921875" style="164" customWidth="1"/>
    <col min="8" max="1024" width="8.69921875" style="1" customWidth="1"/>
    <col min="1025" max="1025" width="9" customWidth="1"/>
  </cols>
  <sheetData>
    <row r="1" spans="1:1024" ht="15.6" x14ac:dyDescent="0.3">
      <c r="A1" s="105"/>
      <c r="B1" s="287" t="s">
        <v>329</v>
      </c>
      <c r="C1" s="287"/>
      <c r="D1" s="287"/>
      <c r="E1" s="287"/>
    </row>
    <row r="2" spans="1:1024" ht="15.6" x14ac:dyDescent="0.3">
      <c r="A2" s="288" t="s">
        <v>7</v>
      </c>
      <c r="B2" s="288"/>
      <c r="C2" s="288"/>
      <c r="D2" s="288"/>
      <c r="E2" s="288"/>
    </row>
    <row r="3" spans="1:1024" ht="15.6" x14ac:dyDescent="0.3">
      <c r="A3" s="106"/>
      <c r="B3" s="106"/>
      <c r="C3" s="106"/>
      <c r="D3" s="105"/>
      <c r="E3" s="105"/>
    </row>
    <row r="4" spans="1:1024" ht="15.6" x14ac:dyDescent="0.3">
      <c r="A4" s="288" t="s">
        <v>299</v>
      </c>
      <c r="B4" s="288"/>
      <c r="C4" s="288"/>
      <c r="D4" s="288"/>
      <c r="E4" s="288"/>
    </row>
    <row r="5" spans="1:1024" ht="15.6" x14ac:dyDescent="0.3">
      <c r="A5" s="105"/>
      <c r="B5" s="105"/>
      <c r="C5" s="105"/>
      <c r="D5" s="105"/>
      <c r="E5" s="105"/>
    </row>
    <row r="6" spans="1:1024" ht="15.6" x14ac:dyDescent="0.3">
      <c r="A6" s="288" t="s">
        <v>9</v>
      </c>
      <c r="B6" s="288"/>
      <c r="C6" s="288"/>
      <c r="D6" s="105"/>
      <c r="E6" s="105"/>
    </row>
    <row r="7" spans="1:1024" ht="15.6" x14ac:dyDescent="0.3">
      <c r="A7" s="73" t="s">
        <v>153</v>
      </c>
      <c r="B7" s="105"/>
      <c r="C7" s="105"/>
      <c r="D7" s="105"/>
      <c r="E7" s="105"/>
    </row>
    <row r="8" spans="1:1024" s="40" customFormat="1" ht="46.8" x14ac:dyDescent="0.3">
      <c r="A8" s="107" t="s">
        <v>80</v>
      </c>
      <c r="B8" s="108" t="s">
        <v>154</v>
      </c>
      <c r="C8" s="109" t="s">
        <v>300</v>
      </c>
      <c r="D8" s="73" t="s">
        <v>152</v>
      </c>
      <c r="E8" s="73" t="s">
        <v>151</v>
      </c>
      <c r="F8" s="2"/>
      <c r="G8" s="17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s="94" customFormat="1" ht="15.6" x14ac:dyDescent="0.3">
      <c r="A9" s="110" t="s">
        <v>306</v>
      </c>
      <c r="B9" s="111" t="s">
        <v>51</v>
      </c>
      <c r="C9" s="112">
        <v>72996</v>
      </c>
      <c r="D9" s="111">
        <f>E9/C9</f>
        <v>460</v>
      </c>
      <c r="E9" s="184">
        <f>'2B'!B38</f>
        <v>33578160</v>
      </c>
      <c r="F9" s="1"/>
      <c r="G9" s="16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s="94" customFormat="1" ht="15.6" x14ac:dyDescent="0.3">
      <c r="A10" s="110" t="s">
        <v>307</v>
      </c>
      <c r="B10" s="111" t="s">
        <v>52</v>
      </c>
      <c r="C10" s="112">
        <v>471900</v>
      </c>
      <c r="D10" s="111">
        <f>E10/C10</f>
        <v>131</v>
      </c>
      <c r="E10" s="184">
        <f>'2B'!B39</f>
        <v>61818900</v>
      </c>
      <c r="F10" s="1"/>
      <c r="G10" s="16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s="94" customFormat="1" ht="15.6" x14ac:dyDescent="0.3">
      <c r="A11" s="110" t="s">
        <v>308</v>
      </c>
      <c r="B11" s="111" t="s">
        <v>144</v>
      </c>
      <c r="C11" s="112">
        <v>325500</v>
      </c>
      <c r="D11" s="111">
        <f>E11/C11</f>
        <v>44</v>
      </c>
      <c r="E11" s="184">
        <f>'2B'!B40</f>
        <v>14322000</v>
      </c>
      <c r="F11" s="1"/>
      <c r="G11" s="16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94" customFormat="1" ht="15.6" x14ac:dyDescent="0.3">
      <c r="A12" s="110" t="s">
        <v>309</v>
      </c>
      <c r="B12" s="111" t="s">
        <v>145</v>
      </c>
      <c r="C12" s="112">
        <v>805200</v>
      </c>
      <c r="D12" s="113">
        <v>15</v>
      </c>
      <c r="E12" s="184">
        <f t="shared" ref="E12:E16" si="0">SUM(D12*C12)</f>
        <v>12078000</v>
      </c>
      <c r="F12" s="1"/>
      <c r="G12" s="16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94" customFormat="1" ht="15.6" x14ac:dyDescent="0.3">
      <c r="A13" s="110" t="s">
        <v>310</v>
      </c>
      <c r="B13" s="111" t="s">
        <v>146</v>
      </c>
      <c r="C13" s="112">
        <v>483120</v>
      </c>
      <c r="D13" s="111">
        <v>12</v>
      </c>
      <c r="E13" s="184">
        <f t="shared" si="0"/>
        <v>5797440</v>
      </c>
      <c r="F13" s="1"/>
      <c r="G13" s="164">
        <f>E13+E12+E14</f>
        <v>42031440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4" customFormat="1" ht="15.6" x14ac:dyDescent="0.3">
      <c r="A14" s="110" t="s">
        <v>311</v>
      </c>
      <c r="B14" s="111" t="s">
        <v>147</v>
      </c>
      <c r="C14" s="113">
        <v>805200</v>
      </c>
      <c r="D14" s="111">
        <v>30</v>
      </c>
      <c r="E14" s="184">
        <f t="shared" si="0"/>
        <v>24156000</v>
      </c>
      <c r="F14" s="1"/>
      <c r="G14" s="16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s="94" customFormat="1" ht="15.6" x14ac:dyDescent="0.3">
      <c r="A15" s="114" t="s">
        <v>312</v>
      </c>
      <c r="B15" s="115" t="s">
        <v>304</v>
      </c>
      <c r="C15" s="116">
        <v>301320</v>
      </c>
      <c r="D15" s="115">
        <v>36</v>
      </c>
      <c r="E15" s="184">
        <f t="shared" si="0"/>
        <v>10847520</v>
      </c>
      <c r="F15" s="1"/>
      <c r="G15" s="164">
        <f>E15+E17</f>
        <v>37968405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176" customFormat="1" ht="31.2" x14ac:dyDescent="0.3">
      <c r="A16" s="114" t="s">
        <v>313</v>
      </c>
      <c r="B16" s="183" t="s">
        <v>305</v>
      </c>
      <c r="C16" s="116">
        <v>10065900</v>
      </c>
      <c r="D16" s="115">
        <v>1</v>
      </c>
      <c r="E16" s="184">
        <f t="shared" si="0"/>
        <v>10065900</v>
      </c>
      <c r="F16" s="1"/>
      <c r="G16" s="16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s="94" customFormat="1" ht="15.6" x14ac:dyDescent="0.3">
      <c r="A17" s="114" t="s">
        <v>314</v>
      </c>
      <c r="B17" s="115" t="s">
        <v>148</v>
      </c>
      <c r="C17" s="116">
        <v>661485</v>
      </c>
      <c r="D17" s="115">
        <v>41</v>
      </c>
      <c r="E17" s="184">
        <f>SUM(D17*C17)</f>
        <v>27120885</v>
      </c>
      <c r="F17" s="1"/>
      <c r="G17" s="16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94" customFormat="1" ht="15.6" x14ac:dyDescent="0.3">
      <c r="A18" s="114" t="s">
        <v>315</v>
      </c>
      <c r="B18" s="115" t="s">
        <v>149</v>
      </c>
      <c r="C18" s="116">
        <v>4234040</v>
      </c>
      <c r="D18" s="167">
        <f>E18/C18</f>
        <v>28.650927010609252</v>
      </c>
      <c r="E18" s="185">
        <f>'2B'!B44</f>
        <v>121309171</v>
      </c>
      <c r="F18" s="1"/>
      <c r="G18" s="16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94" customFormat="1" ht="15.6" x14ac:dyDescent="0.3">
      <c r="A19" s="114" t="s">
        <v>316</v>
      </c>
      <c r="B19" s="111" t="s">
        <v>150</v>
      </c>
      <c r="C19" s="113"/>
      <c r="D19" s="111"/>
      <c r="E19" s="186">
        <f>'2B'!B45</f>
        <v>42463000</v>
      </c>
      <c r="F19" s="1"/>
      <c r="G19" s="16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s="94" customFormat="1" ht="15.6" x14ac:dyDescent="0.3">
      <c r="A20" s="107"/>
      <c r="B20" s="108" t="s">
        <v>62</v>
      </c>
      <c r="C20" s="109"/>
      <c r="D20" s="105"/>
      <c r="E20" s="187">
        <f>SUM(E9:E19)</f>
        <v>363556976</v>
      </c>
      <c r="F20" s="1"/>
      <c r="G20" s="16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x14ac:dyDescent="0.3">
      <c r="A21"/>
      <c r="B21" s="91"/>
      <c r="C21" s="92"/>
      <c r="E21" s="156"/>
    </row>
    <row r="22" spans="1:1024" ht="15.6" x14ac:dyDescent="0.3">
      <c r="A22" s="289" t="s">
        <v>164</v>
      </c>
      <c r="B22" s="289"/>
      <c r="C22" s="289"/>
      <c r="D22" s="105"/>
      <c r="E22" s="188"/>
    </row>
    <row r="23" spans="1:1024" s="94" customFormat="1" ht="46.8" x14ac:dyDescent="0.3">
      <c r="A23" s="107" t="s">
        <v>80</v>
      </c>
      <c r="B23" s="108" t="s">
        <v>154</v>
      </c>
      <c r="C23" s="109" t="s">
        <v>300</v>
      </c>
      <c r="D23" s="73" t="s">
        <v>152</v>
      </c>
      <c r="E23" s="189" t="s">
        <v>151</v>
      </c>
      <c r="F23" s="1"/>
      <c r="G23" s="16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94" customFormat="1" ht="15.6" x14ac:dyDescent="0.3">
      <c r="A24" s="110" t="s">
        <v>317</v>
      </c>
      <c r="B24" s="111" t="s">
        <v>162</v>
      </c>
      <c r="C24" s="112" t="s">
        <v>301</v>
      </c>
      <c r="D24" s="133">
        <f>E24/3400000</f>
        <v>18.932352941176472</v>
      </c>
      <c r="E24" s="184">
        <v>64370000</v>
      </c>
      <c r="F24" s="1"/>
      <c r="G24" s="16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94" customFormat="1" ht="15.6" x14ac:dyDescent="0.3">
      <c r="A25" s="110" t="s">
        <v>318</v>
      </c>
      <c r="B25" s="111" t="s">
        <v>163</v>
      </c>
      <c r="C25" s="112" t="s">
        <v>302</v>
      </c>
      <c r="D25" s="133">
        <f>E25/3300000</f>
        <v>13.383333333333333</v>
      </c>
      <c r="E25" s="184">
        <v>44165000</v>
      </c>
      <c r="F25" s="1"/>
      <c r="G25" s="16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94" customFormat="1" ht="15.6" x14ac:dyDescent="0.3">
      <c r="A26" s="114" t="s">
        <v>315</v>
      </c>
      <c r="B26" s="111" t="s">
        <v>196</v>
      </c>
      <c r="C26" s="116" t="s">
        <v>303</v>
      </c>
      <c r="D26" s="166">
        <f>E26/4234040</f>
        <v>3.3490729893907472</v>
      </c>
      <c r="E26" s="184">
        <f>'2C'!B38</f>
        <v>14180109</v>
      </c>
      <c r="F26" s="1"/>
      <c r="G26" s="16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51" customFormat="1" ht="15.6" x14ac:dyDescent="0.3">
      <c r="A27" s="114" t="s">
        <v>316</v>
      </c>
      <c r="B27" s="111" t="s">
        <v>150</v>
      </c>
      <c r="C27" s="117"/>
      <c r="D27" s="117"/>
      <c r="E27" s="186">
        <v>0</v>
      </c>
      <c r="F27" s="1"/>
      <c r="G27" s="16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60" customFormat="1" ht="31.2" x14ac:dyDescent="0.3">
      <c r="A28" s="120"/>
      <c r="B28" s="165" t="s">
        <v>257</v>
      </c>
      <c r="C28" s="117"/>
      <c r="D28" s="117"/>
      <c r="E28" s="186">
        <f>'2C'!B41</f>
        <v>37996192</v>
      </c>
      <c r="F28" s="1"/>
      <c r="G28" s="16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ht="15.6" x14ac:dyDescent="0.3">
      <c r="A29" s="120"/>
      <c r="B29" s="121" t="s">
        <v>87</v>
      </c>
      <c r="C29" s="120"/>
      <c r="D29" s="120"/>
      <c r="E29" s="190">
        <f>SUM(E24:E28)</f>
        <v>160711301</v>
      </c>
    </row>
    <row r="30" spans="1:1024" s="94" customFormat="1" ht="15.6" x14ac:dyDescent="0.3">
      <c r="A30" s="118"/>
      <c r="B30" s="122"/>
      <c r="C30" s="118"/>
      <c r="D30" s="118"/>
      <c r="E30" s="191"/>
      <c r="F30" s="1"/>
      <c r="G30" s="16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94" customFormat="1" ht="15.6" x14ac:dyDescent="0.3">
      <c r="A31" s="118"/>
      <c r="B31" s="122" t="s">
        <v>155</v>
      </c>
      <c r="C31" s="118"/>
      <c r="D31" s="118"/>
      <c r="E31" s="191">
        <f>E20+E29</f>
        <v>524268277</v>
      </c>
      <c r="F31" s="1"/>
      <c r="G31" s="16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s="94" customFormat="1" ht="15.6" x14ac:dyDescent="0.3">
      <c r="A32" s="118"/>
      <c r="B32" s="118"/>
      <c r="C32" s="118"/>
      <c r="D32" s="118"/>
      <c r="E32" s="119"/>
      <c r="F32" s="1"/>
      <c r="G32" s="16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" x14ac:dyDescent="0.3">
      <c r="A33" s="1" t="s">
        <v>333</v>
      </c>
    </row>
  </sheetData>
  <mergeCells count="5">
    <mergeCell ref="B1:E1"/>
    <mergeCell ref="A6:C6"/>
    <mergeCell ref="A22:C22"/>
    <mergeCell ref="A2:E2"/>
    <mergeCell ref="A4:E4"/>
  </mergeCells>
  <pageMargins left="0.70000000000000007" right="0.70000000000000007" top="1.1437007874015752" bottom="1.1437007874015752" header="0.75000000000000011" footer="0.75000000000000011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view="pageBreakPreview" zoomScale="60" zoomScaleNormal="100" workbookViewId="0">
      <selection activeCell="G31" sqref="G31"/>
    </sheetView>
  </sheetViews>
  <sheetFormatPr defaultColWidth="8" defaultRowHeight="15.6" x14ac:dyDescent="0.3"/>
  <cols>
    <col min="1" max="1" width="8" style="192"/>
    <col min="2" max="2" width="18.5" style="192" customWidth="1"/>
    <col min="3" max="3" width="14.19921875" style="192" customWidth="1"/>
    <col min="4" max="5" width="17.69921875" style="192" customWidth="1"/>
    <col min="6" max="7" width="15.59765625" style="192" customWidth="1"/>
    <col min="8" max="9" width="22.8984375" style="192" customWidth="1"/>
    <col min="10" max="10" width="14.09765625" style="192" customWidth="1"/>
    <col min="11" max="16384" width="8" style="192"/>
  </cols>
  <sheetData>
    <row r="1" spans="1:10" x14ac:dyDescent="0.3">
      <c r="F1" s="294" t="s">
        <v>330</v>
      </c>
      <c r="G1" s="294"/>
    </row>
    <row r="2" spans="1:10" x14ac:dyDescent="0.3">
      <c r="B2" s="295" t="s">
        <v>319</v>
      </c>
      <c r="C2" s="295"/>
      <c r="D2" s="295"/>
      <c r="E2" s="295"/>
      <c r="F2" s="295"/>
      <c r="G2" s="295"/>
    </row>
    <row r="3" spans="1:10" x14ac:dyDescent="0.3">
      <c r="C3" s="193"/>
      <c r="D3" s="194"/>
      <c r="E3" s="194"/>
    </row>
    <row r="6" spans="1:10" ht="31.2" x14ac:dyDescent="0.3">
      <c r="D6" s="195" t="s">
        <v>242</v>
      </c>
      <c r="E6" s="192" t="s">
        <v>197</v>
      </c>
      <c r="F6" s="196" t="s">
        <v>243</v>
      </c>
      <c r="G6" s="192" t="s">
        <v>244</v>
      </c>
    </row>
    <row r="7" spans="1:10" ht="15.75" customHeight="1" x14ac:dyDescent="0.3">
      <c r="B7" s="218"/>
      <c r="C7" s="220" t="s">
        <v>198</v>
      </c>
      <c r="D7" s="219"/>
      <c r="E7" s="296" t="s">
        <v>199</v>
      </c>
      <c r="F7" s="290" t="s">
        <v>245</v>
      </c>
      <c r="G7" s="290" t="s">
        <v>246</v>
      </c>
      <c r="H7" s="216"/>
      <c r="I7" s="216"/>
      <c r="J7" s="216"/>
    </row>
    <row r="8" spans="1:10" ht="48" customHeight="1" x14ac:dyDescent="0.3">
      <c r="B8" s="220" t="s">
        <v>200</v>
      </c>
      <c r="C8" s="221">
        <v>43831</v>
      </c>
      <c r="D8" s="222" t="s">
        <v>262</v>
      </c>
      <c r="E8" s="296"/>
      <c r="F8" s="290"/>
      <c r="G8" s="290"/>
      <c r="H8" s="216"/>
      <c r="I8" s="216"/>
      <c r="J8" s="216"/>
    </row>
    <row r="9" spans="1:10" x14ac:dyDescent="0.3">
      <c r="A9" s="192">
        <v>1</v>
      </c>
      <c r="B9" s="201" t="s">
        <v>201</v>
      </c>
      <c r="C9" s="157">
        <f>'[4]2020_ALL_GYO_ÖSSZ'!$F$24</f>
        <v>2062</v>
      </c>
      <c r="D9" s="223">
        <f t="shared" ref="D9:D35" si="0">SUM(C9*1223)</f>
        <v>2521826</v>
      </c>
      <c r="E9" s="202">
        <f>C9*270</f>
        <v>556740</v>
      </c>
      <c r="F9" s="203">
        <f>C9*100</f>
        <v>206200</v>
      </c>
      <c r="G9" s="203">
        <f>C9*20</f>
        <v>41240</v>
      </c>
      <c r="H9" s="216"/>
      <c r="I9" s="216"/>
      <c r="J9" s="217"/>
    </row>
    <row r="10" spans="1:10" x14ac:dyDescent="0.3">
      <c r="A10" s="192">
        <f>A9+1</f>
        <v>2</v>
      </c>
      <c r="B10" s="201" t="s">
        <v>202</v>
      </c>
      <c r="C10" s="157">
        <f>'[4]2020_ALL_GYO_ÖSSZ'!$F$31</f>
        <v>1435</v>
      </c>
      <c r="D10" s="223">
        <f t="shared" si="0"/>
        <v>1755005</v>
      </c>
      <c r="E10" s="202">
        <f t="shared" ref="E10:E35" si="1">C10*270</f>
        <v>387450</v>
      </c>
      <c r="F10" s="203">
        <f t="shared" ref="F10:F35" si="2">C10*100</f>
        <v>143500</v>
      </c>
      <c r="G10" s="203">
        <f t="shared" ref="G10:G35" si="3">C10*20</f>
        <v>28700</v>
      </c>
      <c r="H10" s="216"/>
      <c r="I10" s="216"/>
      <c r="J10" s="217"/>
    </row>
    <row r="11" spans="1:10" x14ac:dyDescent="0.3">
      <c r="A11" s="192">
        <f t="shared" ref="A11:A35" si="4">A10+1</f>
        <v>3</v>
      </c>
      <c r="B11" s="201" t="s">
        <v>203</v>
      </c>
      <c r="C11" s="157">
        <f>'[4]2020_ALL_GYO_ÖSSZ'!$F$43</f>
        <v>1606</v>
      </c>
      <c r="D11" s="223">
        <f t="shared" si="0"/>
        <v>1964138</v>
      </c>
      <c r="E11" s="202">
        <f t="shared" si="1"/>
        <v>433620</v>
      </c>
      <c r="F11" s="203">
        <f t="shared" si="2"/>
        <v>160600</v>
      </c>
      <c r="G11" s="203">
        <f t="shared" si="3"/>
        <v>32120</v>
      </c>
      <c r="H11" s="216"/>
      <c r="I11" s="216"/>
      <c r="J11" s="216"/>
    </row>
    <row r="12" spans="1:10" x14ac:dyDescent="0.3">
      <c r="A12" s="192">
        <f t="shared" si="4"/>
        <v>4</v>
      </c>
      <c r="B12" s="201" t="s">
        <v>204</v>
      </c>
      <c r="C12" s="157">
        <f>'[4]2020_ALL_GYO_ÖSSZ'!$F$46</f>
        <v>2015</v>
      </c>
      <c r="D12" s="223">
        <f t="shared" si="0"/>
        <v>2464345</v>
      </c>
      <c r="E12" s="202">
        <f t="shared" si="1"/>
        <v>544050</v>
      </c>
      <c r="F12" s="203">
        <f t="shared" si="2"/>
        <v>201500</v>
      </c>
      <c r="G12" s="203">
        <f t="shared" si="3"/>
        <v>40300</v>
      </c>
      <c r="H12" s="216"/>
      <c r="I12" s="216"/>
      <c r="J12" s="216"/>
    </row>
    <row r="13" spans="1:10" x14ac:dyDescent="0.3">
      <c r="A13" s="192">
        <f t="shared" si="4"/>
        <v>5</v>
      </c>
      <c r="B13" s="201" t="s">
        <v>205</v>
      </c>
      <c r="C13" s="157">
        <f>'[4]2020_ALL_GYO_ÖSSZ'!$F$47</f>
        <v>248</v>
      </c>
      <c r="D13" s="223">
        <f t="shared" si="0"/>
        <v>303304</v>
      </c>
      <c r="E13" s="202">
        <f t="shared" si="1"/>
        <v>66960</v>
      </c>
      <c r="F13" s="203">
        <f t="shared" si="2"/>
        <v>24800</v>
      </c>
      <c r="G13" s="203">
        <f t="shared" si="3"/>
        <v>4960</v>
      </c>
      <c r="H13" s="216"/>
      <c r="I13" s="216"/>
      <c r="J13" s="216"/>
    </row>
    <row r="14" spans="1:10" x14ac:dyDescent="0.3">
      <c r="A14" s="192">
        <f t="shared" si="4"/>
        <v>6</v>
      </c>
      <c r="B14" s="201" t="s">
        <v>206</v>
      </c>
      <c r="C14" s="157">
        <f>'[4]2020_ALL_GYO_ÖSSZ'!$F$50</f>
        <v>1721</v>
      </c>
      <c r="D14" s="223">
        <f t="shared" si="0"/>
        <v>2104783</v>
      </c>
      <c r="E14" s="202">
        <f t="shared" si="1"/>
        <v>464670</v>
      </c>
      <c r="F14" s="203">
        <f t="shared" si="2"/>
        <v>172100</v>
      </c>
      <c r="G14" s="203">
        <f t="shared" si="3"/>
        <v>34420</v>
      </c>
      <c r="H14" s="216"/>
      <c r="I14" s="216"/>
      <c r="J14" s="216"/>
    </row>
    <row r="15" spans="1:10" x14ac:dyDescent="0.3">
      <c r="A15" s="192">
        <f t="shared" si="4"/>
        <v>7</v>
      </c>
      <c r="B15" s="201" t="s">
        <v>207</v>
      </c>
      <c r="C15" s="157">
        <f>'[4]2020_ALL_GYO_ÖSSZ'!$F$59</f>
        <v>632</v>
      </c>
      <c r="D15" s="223">
        <f t="shared" si="0"/>
        <v>772936</v>
      </c>
      <c r="E15" s="202">
        <f t="shared" si="1"/>
        <v>170640</v>
      </c>
      <c r="F15" s="203">
        <f t="shared" si="2"/>
        <v>63200</v>
      </c>
      <c r="G15" s="203">
        <f t="shared" si="3"/>
        <v>12640</v>
      </c>
      <c r="H15" s="216"/>
      <c r="I15" s="216"/>
      <c r="J15" s="216"/>
    </row>
    <row r="16" spans="1:10" x14ac:dyDescent="0.3">
      <c r="A16" s="192">
        <f t="shared" si="4"/>
        <v>8</v>
      </c>
      <c r="B16" s="201" t="s">
        <v>208</v>
      </c>
      <c r="C16" s="157">
        <f>'[4]2020_ALL_GYO_ÖSSZ'!$F$80</f>
        <v>3213</v>
      </c>
      <c r="D16" s="223">
        <f t="shared" si="0"/>
        <v>3929499</v>
      </c>
      <c r="E16" s="202">
        <f t="shared" si="1"/>
        <v>867510</v>
      </c>
      <c r="F16" s="203">
        <f t="shared" si="2"/>
        <v>321300</v>
      </c>
      <c r="G16" s="203">
        <f t="shared" si="3"/>
        <v>64260</v>
      </c>
      <c r="H16" s="216"/>
      <c r="I16" s="216"/>
      <c r="J16" s="216"/>
    </row>
    <row r="17" spans="1:10" x14ac:dyDescent="0.3">
      <c r="A17" s="192">
        <f t="shared" si="4"/>
        <v>9</v>
      </c>
      <c r="B17" s="201" t="s">
        <v>209</v>
      </c>
      <c r="C17" s="157">
        <f>'[4]2020_ALL_GYO_ÖSSZ'!$F$16</f>
        <v>3704</v>
      </c>
      <c r="D17" s="223">
        <f t="shared" si="0"/>
        <v>4529992</v>
      </c>
      <c r="E17" s="202">
        <f t="shared" si="1"/>
        <v>1000080</v>
      </c>
      <c r="F17" s="203">
        <f t="shared" si="2"/>
        <v>370400</v>
      </c>
      <c r="G17" s="203">
        <f t="shared" si="3"/>
        <v>74080</v>
      </c>
      <c r="H17" s="216"/>
      <c r="I17" s="216"/>
      <c r="J17" s="216"/>
    </row>
    <row r="18" spans="1:10" x14ac:dyDescent="0.3">
      <c r="A18" s="192">
        <f t="shared" si="4"/>
        <v>10</v>
      </c>
      <c r="B18" s="201" t="s">
        <v>210</v>
      </c>
      <c r="C18" s="157">
        <f>'[4]2020_ALL_GYO_ÖSSZ'!$F$82</f>
        <v>1285</v>
      </c>
      <c r="D18" s="223">
        <f t="shared" si="0"/>
        <v>1571555</v>
      </c>
      <c r="E18" s="202">
        <f t="shared" si="1"/>
        <v>346950</v>
      </c>
      <c r="F18" s="203">
        <f t="shared" si="2"/>
        <v>128500</v>
      </c>
      <c r="G18" s="203">
        <f t="shared" si="3"/>
        <v>25700</v>
      </c>
      <c r="H18" s="216"/>
      <c r="I18" s="216"/>
      <c r="J18" s="216"/>
    </row>
    <row r="19" spans="1:10" x14ac:dyDescent="0.3">
      <c r="A19" s="192">
        <f t="shared" si="4"/>
        <v>11</v>
      </c>
      <c r="B19" s="201" t="s">
        <v>211</v>
      </c>
      <c r="C19" s="157">
        <f>'[4]2020_ALL_GYO_ÖSSZ'!$F$9</f>
        <v>6065</v>
      </c>
      <c r="D19" s="223">
        <f t="shared" si="0"/>
        <v>7417495</v>
      </c>
      <c r="E19" s="202">
        <f t="shared" si="1"/>
        <v>1637550</v>
      </c>
      <c r="F19" s="203">
        <f t="shared" si="2"/>
        <v>606500</v>
      </c>
      <c r="G19" s="203">
        <f t="shared" si="3"/>
        <v>121300</v>
      </c>
      <c r="H19" s="216"/>
      <c r="I19" s="216"/>
      <c r="J19" s="216"/>
    </row>
    <row r="20" spans="1:10" x14ac:dyDescent="0.3">
      <c r="A20" s="192">
        <f t="shared" si="4"/>
        <v>12</v>
      </c>
      <c r="B20" s="201" t="s">
        <v>212</v>
      </c>
      <c r="C20" s="158">
        <f>'[4]2020_ALL_GYO_ÖSSZ'!$F$91</f>
        <v>568</v>
      </c>
      <c r="D20" s="223">
        <f t="shared" si="0"/>
        <v>694664</v>
      </c>
      <c r="E20" s="202">
        <f t="shared" si="1"/>
        <v>153360</v>
      </c>
      <c r="F20" s="203">
        <f t="shared" si="2"/>
        <v>56800</v>
      </c>
      <c r="G20" s="203">
        <f t="shared" si="3"/>
        <v>11360</v>
      </c>
      <c r="H20" s="216"/>
      <c r="I20" s="216"/>
      <c r="J20" s="216"/>
    </row>
    <row r="21" spans="1:10" x14ac:dyDescent="0.3">
      <c r="A21" s="192">
        <f t="shared" si="4"/>
        <v>13</v>
      </c>
      <c r="B21" s="201" t="s">
        <v>213</v>
      </c>
      <c r="C21" s="157">
        <f>'[4]2020_ALL_GYO_ÖSSZ'!$F$92</f>
        <v>2312</v>
      </c>
      <c r="D21" s="223">
        <f t="shared" si="0"/>
        <v>2827576</v>
      </c>
      <c r="E21" s="202">
        <f t="shared" si="1"/>
        <v>624240</v>
      </c>
      <c r="F21" s="203">
        <f t="shared" si="2"/>
        <v>231200</v>
      </c>
      <c r="G21" s="203">
        <f t="shared" si="3"/>
        <v>46240</v>
      </c>
      <c r="H21" s="216"/>
      <c r="I21" s="216"/>
      <c r="J21" s="216"/>
    </row>
    <row r="22" spans="1:10" x14ac:dyDescent="0.3">
      <c r="A22" s="192">
        <f t="shared" si="4"/>
        <v>14</v>
      </c>
      <c r="B22" s="201" t="s">
        <v>214</v>
      </c>
      <c r="C22" s="157">
        <f>'[4]2020_ALL_GYO_ÖSSZ'!$F$95</f>
        <v>369</v>
      </c>
      <c r="D22" s="223">
        <f t="shared" si="0"/>
        <v>451287</v>
      </c>
      <c r="E22" s="202">
        <f t="shared" si="1"/>
        <v>99630</v>
      </c>
      <c r="F22" s="203">
        <f t="shared" si="2"/>
        <v>36900</v>
      </c>
      <c r="G22" s="203">
        <f t="shared" si="3"/>
        <v>7380</v>
      </c>
      <c r="H22" s="216"/>
      <c r="I22" s="216"/>
      <c r="J22" s="216"/>
    </row>
    <row r="23" spans="1:10" x14ac:dyDescent="0.3">
      <c r="A23" s="192">
        <f t="shared" si="4"/>
        <v>15</v>
      </c>
      <c r="B23" s="201" t="s">
        <v>215</v>
      </c>
      <c r="C23" s="157">
        <f>'[4]2020_ALL_GYO_ÖSSZ'!$F$102</f>
        <v>2070</v>
      </c>
      <c r="D23" s="223">
        <f t="shared" si="0"/>
        <v>2531610</v>
      </c>
      <c r="E23" s="202">
        <f t="shared" si="1"/>
        <v>558900</v>
      </c>
      <c r="F23" s="203">
        <f t="shared" si="2"/>
        <v>207000</v>
      </c>
      <c r="G23" s="203">
        <f t="shared" si="3"/>
        <v>41400</v>
      </c>
      <c r="H23" s="216"/>
      <c r="I23" s="216"/>
      <c r="J23" s="216"/>
    </row>
    <row r="24" spans="1:10" x14ac:dyDescent="0.3">
      <c r="A24" s="192">
        <f t="shared" si="4"/>
        <v>16</v>
      </c>
      <c r="B24" s="201" t="s">
        <v>216</v>
      </c>
      <c r="C24" s="157">
        <f>'[4]2020_ALL_GYO_ÖSSZ'!$F$11</f>
        <v>3311</v>
      </c>
      <c r="D24" s="223">
        <f t="shared" si="0"/>
        <v>4049353</v>
      </c>
      <c r="E24" s="202">
        <f t="shared" si="1"/>
        <v>893970</v>
      </c>
      <c r="F24" s="203">
        <f t="shared" si="2"/>
        <v>331100</v>
      </c>
      <c r="G24" s="203">
        <f t="shared" si="3"/>
        <v>66220</v>
      </c>
      <c r="H24" s="216"/>
      <c r="I24" s="216"/>
      <c r="J24" s="216"/>
    </row>
    <row r="25" spans="1:10" x14ac:dyDescent="0.3">
      <c r="A25" s="192">
        <f t="shared" si="4"/>
        <v>17</v>
      </c>
      <c r="B25" s="201" t="s">
        <v>217</v>
      </c>
      <c r="C25" s="157">
        <f>'[4]2020_ALL_GYO_ÖSSZ'!$F$103</f>
        <v>782</v>
      </c>
      <c r="D25" s="223">
        <f t="shared" si="0"/>
        <v>956386</v>
      </c>
      <c r="E25" s="202">
        <f t="shared" si="1"/>
        <v>211140</v>
      </c>
      <c r="F25" s="203">
        <f t="shared" si="2"/>
        <v>78200</v>
      </c>
      <c r="G25" s="203">
        <f t="shared" si="3"/>
        <v>15640</v>
      </c>
      <c r="H25" s="216"/>
      <c r="I25" s="216"/>
      <c r="J25" s="216"/>
    </row>
    <row r="26" spans="1:10" x14ac:dyDescent="0.3">
      <c r="A26" s="192">
        <f t="shared" si="4"/>
        <v>18</v>
      </c>
      <c r="B26" s="201" t="s">
        <v>218</v>
      </c>
      <c r="C26" s="157">
        <f>'[4]2020_ALL_GYO_ÖSSZ'!$F$107</f>
        <v>2049</v>
      </c>
      <c r="D26" s="223">
        <f t="shared" si="0"/>
        <v>2505927</v>
      </c>
      <c r="E26" s="202">
        <f t="shared" si="1"/>
        <v>553230</v>
      </c>
      <c r="F26" s="203">
        <f t="shared" si="2"/>
        <v>204900</v>
      </c>
      <c r="G26" s="203">
        <f t="shared" si="3"/>
        <v>40980</v>
      </c>
      <c r="H26" s="216"/>
      <c r="I26" s="216"/>
      <c r="J26" s="216"/>
    </row>
    <row r="27" spans="1:10" x14ac:dyDescent="0.3">
      <c r="A27" s="192">
        <f t="shared" si="4"/>
        <v>19</v>
      </c>
      <c r="B27" s="201" t="s">
        <v>219</v>
      </c>
      <c r="C27" s="157">
        <f>'[4]2020_ALL_GYO_ÖSSZ'!$F$109</f>
        <v>640</v>
      </c>
      <c r="D27" s="223">
        <f t="shared" si="0"/>
        <v>782720</v>
      </c>
      <c r="E27" s="202">
        <f t="shared" si="1"/>
        <v>172800</v>
      </c>
      <c r="F27" s="203">
        <f t="shared" si="2"/>
        <v>64000</v>
      </c>
      <c r="G27" s="203">
        <f t="shared" si="3"/>
        <v>12800</v>
      </c>
      <c r="H27" s="216"/>
      <c r="I27" s="216"/>
      <c r="J27" s="216"/>
    </row>
    <row r="28" spans="1:10" x14ac:dyDescent="0.3">
      <c r="A28" s="192">
        <f t="shared" si="4"/>
        <v>20</v>
      </c>
      <c r="B28" s="201" t="s">
        <v>220</v>
      </c>
      <c r="C28" s="157">
        <f>'[4]2020_ALL_GYO_ÖSSZ'!$F$12</f>
        <v>32256</v>
      </c>
      <c r="D28" s="223">
        <f t="shared" si="0"/>
        <v>39449088</v>
      </c>
      <c r="E28" s="202">
        <f t="shared" si="1"/>
        <v>8709120</v>
      </c>
      <c r="F28" s="203">
        <f t="shared" si="2"/>
        <v>3225600</v>
      </c>
      <c r="G28" s="203">
        <f t="shared" si="3"/>
        <v>645120</v>
      </c>
      <c r="H28" s="216"/>
      <c r="I28" s="216"/>
      <c r="J28" s="216"/>
    </row>
    <row r="29" spans="1:10" x14ac:dyDescent="0.3">
      <c r="A29" s="192">
        <f t="shared" si="4"/>
        <v>21</v>
      </c>
      <c r="B29" s="201" t="s">
        <v>221</v>
      </c>
      <c r="C29" s="157">
        <f>'[4]2020_ALL_GYO_ÖSSZ'!$F$114</f>
        <v>2541</v>
      </c>
      <c r="D29" s="223">
        <f t="shared" si="0"/>
        <v>3107643</v>
      </c>
      <c r="E29" s="202">
        <f t="shared" si="1"/>
        <v>686070</v>
      </c>
      <c r="F29" s="203">
        <f t="shared" si="2"/>
        <v>254100</v>
      </c>
      <c r="G29" s="203">
        <f t="shared" si="3"/>
        <v>50820</v>
      </c>
      <c r="H29" s="204"/>
      <c r="I29" s="204"/>
      <c r="J29" s="216"/>
    </row>
    <row r="30" spans="1:10" x14ac:dyDescent="0.3">
      <c r="A30" s="192">
        <f t="shared" si="4"/>
        <v>22</v>
      </c>
      <c r="B30" s="201" t="s">
        <v>222</v>
      </c>
      <c r="C30" s="157">
        <f>'[4]2020_ALL_GYO_ÖSSZ'!$F$115</f>
        <v>1825</v>
      </c>
      <c r="D30" s="223">
        <f t="shared" si="0"/>
        <v>2231975</v>
      </c>
      <c r="E30" s="202">
        <f t="shared" si="1"/>
        <v>492750</v>
      </c>
      <c r="F30" s="203">
        <f t="shared" si="2"/>
        <v>182500</v>
      </c>
      <c r="G30" s="203">
        <f t="shared" si="3"/>
        <v>36500</v>
      </c>
      <c r="H30" s="216"/>
      <c r="I30" s="216"/>
      <c r="J30" s="216"/>
    </row>
    <row r="31" spans="1:10" x14ac:dyDescent="0.3">
      <c r="A31" s="192">
        <f t="shared" si="4"/>
        <v>23</v>
      </c>
      <c r="B31" s="201" t="s">
        <v>223</v>
      </c>
      <c r="C31" s="157">
        <f>'[4]2020_ALL_GYO_ÖSSZ'!$F$116</f>
        <v>443</v>
      </c>
      <c r="D31" s="223">
        <f t="shared" si="0"/>
        <v>541789</v>
      </c>
      <c r="E31" s="202">
        <f t="shared" si="1"/>
        <v>119610</v>
      </c>
      <c r="F31" s="203">
        <f t="shared" si="2"/>
        <v>44300</v>
      </c>
      <c r="G31" s="203">
        <f t="shared" si="3"/>
        <v>8860</v>
      </c>
    </row>
    <row r="32" spans="1:10" x14ac:dyDescent="0.3">
      <c r="A32" s="192">
        <f t="shared" si="4"/>
        <v>24</v>
      </c>
      <c r="B32" s="201" t="s">
        <v>224</v>
      </c>
      <c r="C32" s="157">
        <f>'[4]2020_ALL_GYO_ÖSSZ'!$F$134</f>
        <v>642</v>
      </c>
      <c r="D32" s="223">
        <f t="shared" si="0"/>
        <v>785166</v>
      </c>
      <c r="E32" s="202">
        <f t="shared" si="1"/>
        <v>173340</v>
      </c>
      <c r="F32" s="203">
        <f t="shared" si="2"/>
        <v>64200</v>
      </c>
      <c r="G32" s="203">
        <f t="shared" si="3"/>
        <v>12840</v>
      </c>
    </row>
    <row r="33" spans="1:9" x14ac:dyDescent="0.3">
      <c r="A33" s="192">
        <f t="shared" si="4"/>
        <v>25</v>
      </c>
      <c r="B33" s="201" t="s">
        <v>225</v>
      </c>
      <c r="C33" s="157">
        <f>'[4]2020_ALL_GYO_ÖSSZ'!$F$146</f>
        <v>3868</v>
      </c>
      <c r="D33" s="223">
        <f t="shared" si="0"/>
        <v>4730564</v>
      </c>
      <c r="E33" s="202">
        <f t="shared" si="1"/>
        <v>1044360</v>
      </c>
      <c r="F33" s="203">
        <f t="shared" si="2"/>
        <v>386800</v>
      </c>
      <c r="G33" s="203">
        <f t="shared" si="3"/>
        <v>77360</v>
      </c>
    </row>
    <row r="34" spans="1:9" x14ac:dyDescent="0.3">
      <c r="A34" s="192">
        <f t="shared" si="4"/>
        <v>26</v>
      </c>
      <c r="B34" s="201" t="s">
        <v>226</v>
      </c>
      <c r="C34" s="157">
        <f>'[4]2020_ALL_GYO_ÖSSZ'!$F$172</f>
        <v>862</v>
      </c>
      <c r="D34" s="223">
        <f t="shared" si="0"/>
        <v>1054226</v>
      </c>
      <c r="E34" s="202">
        <f t="shared" si="1"/>
        <v>232740</v>
      </c>
      <c r="F34" s="203">
        <f t="shared" si="2"/>
        <v>86200</v>
      </c>
      <c r="G34" s="203">
        <f t="shared" si="3"/>
        <v>17240</v>
      </c>
    </row>
    <row r="35" spans="1:9" x14ac:dyDescent="0.3">
      <c r="A35" s="192">
        <f t="shared" si="4"/>
        <v>27</v>
      </c>
      <c r="B35" s="201" t="s">
        <v>227</v>
      </c>
      <c r="C35" s="157">
        <f>'[4]2020_ALL_GYO_ÖSSZ'!$F$177</f>
        <v>396</v>
      </c>
      <c r="D35" s="223">
        <f t="shared" si="0"/>
        <v>484308</v>
      </c>
      <c r="E35" s="202">
        <f t="shared" si="1"/>
        <v>106920</v>
      </c>
      <c r="F35" s="203">
        <f t="shared" si="2"/>
        <v>39600</v>
      </c>
      <c r="G35" s="203">
        <f t="shared" si="3"/>
        <v>7920</v>
      </c>
    </row>
    <row r="36" spans="1:9" x14ac:dyDescent="0.3">
      <c r="B36" s="205"/>
      <c r="C36" s="206"/>
      <c r="D36" s="207"/>
      <c r="E36" s="208"/>
    </row>
    <row r="37" spans="1:9" x14ac:dyDescent="0.3">
      <c r="B37" s="205" t="s">
        <v>62</v>
      </c>
      <c r="C37" s="209">
        <f>SUM(C9:C35)</f>
        <v>78920</v>
      </c>
      <c r="D37" s="210">
        <f>SUM(D9:D36)</f>
        <v>96519160</v>
      </c>
      <c r="E37" s="193">
        <f>SUM(E9:E36)</f>
        <v>21308400</v>
      </c>
      <c r="F37" s="193">
        <f>SUM(F9:F36)</f>
        <v>7892000</v>
      </c>
      <c r="G37" s="193">
        <f>SUM(G9:G36)</f>
        <v>1578400</v>
      </c>
      <c r="I37" s="206"/>
    </row>
    <row r="38" spans="1:9" x14ac:dyDescent="0.3">
      <c r="C38" s="230"/>
      <c r="D38" s="193"/>
      <c r="E38" s="193"/>
      <c r="F38" s="193"/>
      <c r="G38" s="193"/>
      <c r="I38" s="206"/>
    </row>
    <row r="39" spans="1:9" x14ac:dyDescent="0.3">
      <c r="C39" s="206"/>
      <c r="D39" s="192" t="s">
        <v>247</v>
      </c>
      <c r="E39" s="192" t="s">
        <v>247</v>
      </c>
    </row>
    <row r="40" spans="1:9" ht="15.75" customHeight="1" x14ac:dyDescent="0.3">
      <c r="B40" s="197"/>
      <c r="C40" s="198" t="s">
        <v>198</v>
      </c>
      <c r="D40" s="290" t="s">
        <v>248</v>
      </c>
      <c r="E40" s="291" t="s">
        <v>249</v>
      </c>
      <c r="F40" s="293" t="s">
        <v>250</v>
      </c>
    </row>
    <row r="41" spans="1:9" x14ac:dyDescent="0.3">
      <c r="B41" s="199" t="s">
        <v>200</v>
      </c>
      <c r="C41" s="200">
        <v>43831</v>
      </c>
      <c r="D41" s="290"/>
      <c r="E41" s="292"/>
      <c r="F41" s="293"/>
    </row>
    <row r="42" spans="1:9" x14ac:dyDescent="0.3">
      <c r="B42" s="201" t="s">
        <v>201</v>
      </c>
      <c r="C42" s="157">
        <f>'[4]2020_ALL_GYO_ÖSSZ'!$F$24</f>
        <v>2062</v>
      </c>
      <c r="D42" s="203">
        <f>C9*10</f>
        <v>20620</v>
      </c>
      <c r="E42" s="203">
        <f>C9*100</f>
        <v>206200</v>
      </c>
      <c r="F42" s="211">
        <f>SUM(D9:G9,D42:E42)</f>
        <v>3552826</v>
      </c>
      <c r="G42" s="212"/>
      <c r="H42" s="209"/>
      <c r="I42" s="209"/>
    </row>
    <row r="43" spans="1:9" x14ac:dyDescent="0.3">
      <c r="B43" s="201" t="s">
        <v>202</v>
      </c>
      <c r="C43" s="157">
        <f>'[4]2020_ALL_GYO_ÖSSZ'!$F$31</f>
        <v>1435</v>
      </c>
      <c r="D43" s="203">
        <f t="shared" ref="D43:D68" si="5">C10*10</f>
        <v>14350</v>
      </c>
      <c r="E43" s="203">
        <f t="shared" ref="E43:E68" si="6">C10*100</f>
        <v>143500</v>
      </c>
      <c r="F43" s="211">
        <f t="shared" ref="F43:F68" si="7">SUM(D10:G10,D43:E43)</f>
        <v>2472505</v>
      </c>
      <c r="G43" s="212"/>
      <c r="H43" s="209"/>
      <c r="I43" s="209"/>
    </row>
    <row r="44" spans="1:9" x14ac:dyDescent="0.3">
      <c r="B44" s="201" t="s">
        <v>203</v>
      </c>
      <c r="C44" s="157">
        <f>'[4]2020_ALL_GYO_ÖSSZ'!$F$43</f>
        <v>1606</v>
      </c>
      <c r="D44" s="203">
        <f t="shared" si="5"/>
        <v>16060</v>
      </c>
      <c r="E44" s="203">
        <f t="shared" si="6"/>
        <v>160600</v>
      </c>
      <c r="F44" s="211">
        <f t="shared" si="7"/>
        <v>2767138</v>
      </c>
      <c r="G44" s="212"/>
      <c r="H44" s="209"/>
      <c r="I44" s="209"/>
    </row>
    <row r="45" spans="1:9" x14ac:dyDescent="0.3">
      <c r="B45" s="201" t="s">
        <v>204</v>
      </c>
      <c r="C45" s="157">
        <f>'[4]2020_ALL_GYO_ÖSSZ'!$F$46</f>
        <v>2015</v>
      </c>
      <c r="D45" s="203">
        <f t="shared" si="5"/>
        <v>20150</v>
      </c>
      <c r="E45" s="203">
        <f t="shared" si="6"/>
        <v>201500</v>
      </c>
      <c r="F45" s="211">
        <f t="shared" si="7"/>
        <v>3471845</v>
      </c>
      <c r="G45" s="212"/>
      <c r="H45" s="209"/>
      <c r="I45" s="209"/>
    </row>
    <row r="46" spans="1:9" x14ac:dyDescent="0.3">
      <c r="B46" s="201" t="s">
        <v>205</v>
      </c>
      <c r="C46" s="157">
        <f>'[4]2020_ALL_GYO_ÖSSZ'!$F$47</f>
        <v>248</v>
      </c>
      <c r="D46" s="203">
        <f t="shared" si="5"/>
        <v>2480</v>
      </c>
      <c r="E46" s="203">
        <f t="shared" si="6"/>
        <v>24800</v>
      </c>
      <c r="F46" s="211">
        <f t="shared" si="7"/>
        <v>427304</v>
      </c>
      <c r="G46" s="212"/>
      <c r="H46" s="209"/>
      <c r="I46" s="209"/>
    </row>
    <row r="47" spans="1:9" x14ac:dyDescent="0.3">
      <c r="B47" s="201" t="s">
        <v>206</v>
      </c>
      <c r="C47" s="157">
        <f>'[4]2020_ALL_GYO_ÖSSZ'!$F$50</f>
        <v>1721</v>
      </c>
      <c r="D47" s="203">
        <f t="shared" si="5"/>
        <v>17210</v>
      </c>
      <c r="E47" s="203">
        <f t="shared" si="6"/>
        <v>172100</v>
      </c>
      <c r="F47" s="211">
        <f t="shared" si="7"/>
        <v>2965283</v>
      </c>
      <c r="G47" s="212"/>
      <c r="H47" s="209"/>
      <c r="I47" s="209"/>
    </row>
    <row r="48" spans="1:9" x14ac:dyDescent="0.3">
      <c r="B48" s="201" t="s">
        <v>207</v>
      </c>
      <c r="C48" s="157">
        <f>'[4]2020_ALL_GYO_ÖSSZ'!$F$59</f>
        <v>632</v>
      </c>
      <c r="D48" s="203">
        <f t="shared" si="5"/>
        <v>6320</v>
      </c>
      <c r="E48" s="203">
        <f t="shared" si="6"/>
        <v>63200</v>
      </c>
      <c r="F48" s="211">
        <f t="shared" si="7"/>
        <v>1088936</v>
      </c>
      <c r="G48" s="212"/>
      <c r="H48" s="209"/>
      <c r="I48" s="209"/>
    </row>
    <row r="49" spans="2:9" x14ac:dyDescent="0.3">
      <c r="B49" s="201" t="s">
        <v>208</v>
      </c>
      <c r="C49" s="157">
        <f>'[4]2020_ALL_GYO_ÖSSZ'!$F$80</f>
        <v>3213</v>
      </c>
      <c r="D49" s="203">
        <f t="shared" si="5"/>
        <v>32130</v>
      </c>
      <c r="E49" s="203">
        <f t="shared" si="6"/>
        <v>321300</v>
      </c>
      <c r="F49" s="211">
        <f t="shared" si="7"/>
        <v>5535999</v>
      </c>
      <c r="G49" s="212"/>
      <c r="H49" s="209"/>
      <c r="I49" s="209"/>
    </row>
    <row r="50" spans="2:9" x14ac:dyDescent="0.3">
      <c r="B50" s="201" t="s">
        <v>209</v>
      </c>
      <c r="C50" s="157">
        <f>'[4]2020_ALL_GYO_ÖSSZ'!$F$16</f>
        <v>3704</v>
      </c>
      <c r="D50" s="203">
        <f t="shared" si="5"/>
        <v>37040</v>
      </c>
      <c r="E50" s="203">
        <f t="shared" si="6"/>
        <v>370400</v>
      </c>
      <c r="F50" s="211">
        <f t="shared" si="7"/>
        <v>6381992</v>
      </c>
      <c r="G50" s="212"/>
      <c r="H50" s="209"/>
      <c r="I50" s="209"/>
    </row>
    <row r="51" spans="2:9" x14ac:dyDescent="0.3">
      <c r="B51" s="201" t="s">
        <v>210</v>
      </c>
      <c r="C51" s="157">
        <f>'[4]2020_ALL_GYO_ÖSSZ'!$F$82</f>
        <v>1285</v>
      </c>
      <c r="D51" s="203">
        <f t="shared" si="5"/>
        <v>12850</v>
      </c>
      <c r="E51" s="203">
        <f t="shared" si="6"/>
        <v>128500</v>
      </c>
      <c r="F51" s="211">
        <f t="shared" si="7"/>
        <v>2214055</v>
      </c>
      <c r="G51" s="212"/>
      <c r="H51" s="209"/>
      <c r="I51" s="209"/>
    </row>
    <row r="52" spans="2:9" x14ac:dyDescent="0.3">
      <c r="B52" s="201" t="s">
        <v>211</v>
      </c>
      <c r="C52" s="157">
        <f>'[4]2020_ALL_GYO_ÖSSZ'!$F$9</f>
        <v>6065</v>
      </c>
      <c r="D52" s="203">
        <f t="shared" si="5"/>
        <v>60650</v>
      </c>
      <c r="E52" s="203">
        <f t="shared" si="6"/>
        <v>606500</v>
      </c>
      <c r="F52" s="211">
        <f t="shared" si="7"/>
        <v>10449995</v>
      </c>
      <c r="G52" s="212"/>
      <c r="H52" s="209"/>
      <c r="I52" s="209"/>
    </row>
    <row r="53" spans="2:9" x14ac:dyDescent="0.3">
      <c r="B53" s="201" t="s">
        <v>212</v>
      </c>
      <c r="C53" s="158">
        <f>'[4]2020_ALL_GYO_ÖSSZ'!$F$91</f>
        <v>568</v>
      </c>
      <c r="D53" s="203">
        <f t="shared" si="5"/>
        <v>5680</v>
      </c>
      <c r="E53" s="203">
        <f t="shared" si="6"/>
        <v>56800</v>
      </c>
      <c r="F53" s="211">
        <f t="shared" si="7"/>
        <v>978664</v>
      </c>
      <c r="G53" s="212"/>
      <c r="H53" s="209"/>
      <c r="I53" s="209"/>
    </row>
    <row r="54" spans="2:9" x14ac:dyDescent="0.3">
      <c r="B54" s="201" t="s">
        <v>213</v>
      </c>
      <c r="C54" s="157">
        <f>'[4]2020_ALL_GYO_ÖSSZ'!$F$92</f>
        <v>2312</v>
      </c>
      <c r="D54" s="203">
        <f t="shared" si="5"/>
        <v>23120</v>
      </c>
      <c r="E54" s="203">
        <f t="shared" si="6"/>
        <v>231200</v>
      </c>
      <c r="F54" s="211">
        <f t="shared" si="7"/>
        <v>3983576</v>
      </c>
      <c r="G54" s="212"/>
      <c r="H54" s="209"/>
      <c r="I54" s="209"/>
    </row>
    <row r="55" spans="2:9" x14ac:dyDescent="0.3">
      <c r="B55" s="201" t="s">
        <v>214</v>
      </c>
      <c r="C55" s="157">
        <f>'[4]2020_ALL_GYO_ÖSSZ'!$F$95</f>
        <v>369</v>
      </c>
      <c r="D55" s="203">
        <f t="shared" si="5"/>
        <v>3690</v>
      </c>
      <c r="E55" s="203">
        <f t="shared" si="6"/>
        <v>36900</v>
      </c>
      <c r="F55" s="211">
        <f t="shared" si="7"/>
        <v>635787</v>
      </c>
      <c r="G55" s="212"/>
      <c r="H55" s="209"/>
      <c r="I55" s="209"/>
    </row>
    <row r="56" spans="2:9" x14ac:dyDescent="0.3">
      <c r="B56" s="201" t="s">
        <v>215</v>
      </c>
      <c r="C56" s="157">
        <f>'[4]2020_ALL_GYO_ÖSSZ'!$F$102</f>
        <v>2070</v>
      </c>
      <c r="D56" s="203">
        <f t="shared" si="5"/>
        <v>20700</v>
      </c>
      <c r="E56" s="203">
        <f t="shared" si="6"/>
        <v>207000</v>
      </c>
      <c r="F56" s="211">
        <f t="shared" si="7"/>
        <v>3566610</v>
      </c>
      <c r="G56" s="212"/>
      <c r="H56" s="209"/>
      <c r="I56" s="209"/>
    </row>
    <row r="57" spans="2:9" x14ac:dyDescent="0.3">
      <c r="B57" s="201" t="s">
        <v>216</v>
      </c>
      <c r="C57" s="157">
        <f>'[4]2020_ALL_GYO_ÖSSZ'!$F$11</f>
        <v>3311</v>
      </c>
      <c r="D57" s="203">
        <f t="shared" si="5"/>
        <v>33110</v>
      </c>
      <c r="E57" s="203">
        <f t="shared" si="6"/>
        <v>331100</v>
      </c>
      <c r="F57" s="211">
        <f t="shared" si="7"/>
        <v>5704853</v>
      </c>
      <c r="G57" s="212"/>
      <c r="H57" s="209"/>
      <c r="I57" s="209"/>
    </row>
    <row r="58" spans="2:9" x14ac:dyDescent="0.3">
      <c r="B58" s="201" t="s">
        <v>217</v>
      </c>
      <c r="C58" s="157">
        <f>'[4]2020_ALL_GYO_ÖSSZ'!$F$103</f>
        <v>782</v>
      </c>
      <c r="D58" s="203">
        <f t="shared" si="5"/>
        <v>7820</v>
      </c>
      <c r="E58" s="203">
        <f t="shared" si="6"/>
        <v>78200</v>
      </c>
      <c r="F58" s="211">
        <f t="shared" si="7"/>
        <v>1347386</v>
      </c>
      <c r="G58" s="212"/>
      <c r="H58" s="209"/>
      <c r="I58" s="209"/>
    </row>
    <row r="59" spans="2:9" x14ac:dyDescent="0.3">
      <c r="B59" s="201" t="s">
        <v>218</v>
      </c>
      <c r="C59" s="157">
        <f>'[4]2020_ALL_GYO_ÖSSZ'!$F$107</f>
        <v>2049</v>
      </c>
      <c r="D59" s="203">
        <f t="shared" si="5"/>
        <v>20490</v>
      </c>
      <c r="E59" s="203">
        <f t="shared" si="6"/>
        <v>204900</v>
      </c>
      <c r="F59" s="211">
        <f t="shared" si="7"/>
        <v>3530427</v>
      </c>
      <c r="G59" s="212"/>
      <c r="H59" s="209"/>
      <c r="I59" s="209"/>
    </row>
    <row r="60" spans="2:9" x14ac:dyDescent="0.3">
      <c r="B60" s="201" t="s">
        <v>219</v>
      </c>
      <c r="C60" s="157">
        <f>'[4]2020_ALL_GYO_ÖSSZ'!$F$109</f>
        <v>640</v>
      </c>
      <c r="D60" s="203">
        <f t="shared" si="5"/>
        <v>6400</v>
      </c>
      <c r="E60" s="203">
        <f t="shared" si="6"/>
        <v>64000</v>
      </c>
      <c r="F60" s="211">
        <f t="shared" si="7"/>
        <v>1102720</v>
      </c>
      <c r="G60" s="212"/>
      <c r="H60" s="209"/>
      <c r="I60" s="209"/>
    </row>
    <row r="61" spans="2:9" x14ac:dyDescent="0.3">
      <c r="B61" s="201" t="s">
        <v>220</v>
      </c>
      <c r="C61" s="157">
        <f>'[4]2020_ALL_GYO_ÖSSZ'!$F$12</f>
        <v>32256</v>
      </c>
      <c r="D61" s="203">
        <f t="shared" si="5"/>
        <v>322560</v>
      </c>
      <c r="E61" s="203">
        <f t="shared" si="6"/>
        <v>3225600</v>
      </c>
      <c r="F61" s="211">
        <f t="shared" si="7"/>
        <v>55577088</v>
      </c>
      <c r="G61" s="212"/>
      <c r="H61" s="209"/>
      <c r="I61" s="209"/>
    </row>
    <row r="62" spans="2:9" x14ac:dyDescent="0.3">
      <c r="B62" s="201" t="s">
        <v>221</v>
      </c>
      <c r="C62" s="157">
        <f>'[4]2020_ALL_GYO_ÖSSZ'!$F$114</f>
        <v>2541</v>
      </c>
      <c r="D62" s="203">
        <f t="shared" si="5"/>
        <v>25410</v>
      </c>
      <c r="E62" s="203">
        <f t="shared" si="6"/>
        <v>254100</v>
      </c>
      <c r="F62" s="211">
        <f t="shared" si="7"/>
        <v>4378143</v>
      </c>
      <c r="G62" s="212"/>
      <c r="H62" s="209"/>
      <c r="I62" s="209"/>
    </row>
    <row r="63" spans="2:9" x14ac:dyDescent="0.3">
      <c r="B63" s="201" t="s">
        <v>222</v>
      </c>
      <c r="C63" s="157">
        <f>'[4]2020_ALL_GYO_ÖSSZ'!$F$115</f>
        <v>1825</v>
      </c>
      <c r="D63" s="203">
        <f t="shared" si="5"/>
        <v>18250</v>
      </c>
      <c r="E63" s="203">
        <f t="shared" si="6"/>
        <v>182500</v>
      </c>
      <c r="F63" s="211">
        <f t="shared" si="7"/>
        <v>3144475</v>
      </c>
      <c r="G63" s="212"/>
      <c r="H63" s="209"/>
      <c r="I63" s="209"/>
    </row>
    <row r="64" spans="2:9" x14ac:dyDescent="0.3">
      <c r="B64" s="201" t="s">
        <v>223</v>
      </c>
      <c r="C64" s="157">
        <f>'[4]2020_ALL_GYO_ÖSSZ'!$F$116</f>
        <v>443</v>
      </c>
      <c r="D64" s="203">
        <f t="shared" si="5"/>
        <v>4430</v>
      </c>
      <c r="E64" s="203">
        <f t="shared" si="6"/>
        <v>44300</v>
      </c>
      <c r="F64" s="211">
        <f t="shared" si="7"/>
        <v>763289</v>
      </c>
      <c r="G64" s="212"/>
      <c r="H64" s="209"/>
      <c r="I64" s="209"/>
    </row>
    <row r="65" spans="1:10" x14ac:dyDescent="0.3">
      <c r="B65" s="201" t="s">
        <v>224</v>
      </c>
      <c r="C65" s="157">
        <f>'[4]2020_ALL_GYO_ÖSSZ'!$F$134</f>
        <v>642</v>
      </c>
      <c r="D65" s="203">
        <f t="shared" si="5"/>
        <v>6420</v>
      </c>
      <c r="E65" s="203">
        <f t="shared" si="6"/>
        <v>64200</v>
      </c>
      <c r="F65" s="211">
        <f t="shared" si="7"/>
        <v>1106166</v>
      </c>
      <c r="G65" s="212"/>
      <c r="H65" s="209"/>
      <c r="I65" s="209"/>
    </row>
    <row r="66" spans="1:10" x14ac:dyDescent="0.3">
      <c r="B66" s="201" t="s">
        <v>225</v>
      </c>
      <c r="C66" s="157">
        <f>'[4]2020_ALL_GYO_ÖSSZ'!$F$146</f>
        <v>3868</v>
      </c>
      <c r="D66" s="203">
        <f t="shared" si="5"/>
        <v>38680</v>
      </c>
      <c r="E66" s="203">
        <f t="shared" si="6"/>
        <v>386800</v>
      </c>
      <c r="F66" s="211">
        <f t="shared" si="7"/>
        <v>6664564</v>
      </c>
      <c r="G66" s="212"/>
      <c r="H66" s="209"/>
      <c r="I66" s="209"/>
    </row>
    <row r="67" spans="1:10" x14ac:dyDescent="0.3">
      <c r="B67" s="201" t="s">
        <v>226</v>
      </c>
      <c r="C67" s="157">
        <f>'[4]2020_ALL_GYO_ÖSSZ'!$F$172</f>
        <v>862</v>
      </c>
      <c r="D67" s="203">
        <f t="shared" si="5"/>
        <v>8620</v>
      </c>
      <c r="E67" s="203">
        <f t="shared" si="6"/>
        <v>86200</v>
      </c>
      <c r="F67" s="211">
        <f t="shared" si="7"/>
        <v>1485226</v>
      </c>
      <c r="G67" s="212"/>
      <c r="H67" s="209"/>
      <c r="I67" s="209"/>
    </row>
    <row r="68" spans="1:10" x14ac:dyDescent="0.3">
      <c r="B68" s="201" t="s">
        <v>227</v>
      </c>
      <c r="C68" s="157">
        <f>'[4]2020_ALL_GYO_ÖSSZ'!$F$177</f>
        <v>396</v>
      </c>
      <c r="D68" s="203">
        <f t="shared" si="5"/>
        <v>3960</v>
      </c>
      <c r="E68" s="203">
        <f t="shared" si="6"/>
        <v>39600</v>
      </c>
      <c r="F68" s="211">
        <f t="shared" si="7"/>
        <v>682308</v>
      </c>
      <c r="G68" s="212"/>
      <c r="H68" s="209"/>
      <c r="I68" s="209"/>
    </row>
    <row r="69" spans="1:10" x14ac:dyDescent="0.3">
      <c r="F69" s="213"/>
      <c r="G69" s="214"/>
    </row>
    <row r="70" spans="1:10" x14ac:dyDescent="0.3">
      <c r="C70" s="206">
        <f>SUM(C42:C68)</f>
        <v>78920</v>
      </c>
      <c r="D70" s="193">
        <f t="shared" ref="D70:E70" si="8">SUM(D42:D69)</f>
        <v>789200</v>
      </c>
      <c r="E70" s="193">
        <f t="shared" si="8"/>
        <v>7892000</v>
      </c>
      <c r="F70" s="229">
        <f>SUM(F42:F68)</f>
        <v>135979160</v>
      </c>
      <c r="G70" s="215"/>
      <c r="H70" s="206"/>
      <c r="I70" s="206"/>
      <c r="J70" s="206"/>
    </row>
    <row r="71" spans="1:10" x14ac:dyDescent="0.3">
      <c r="D71" s="193"/>
      <c r="E71" s="193"/>
      <c r="F71" s="193"/>
    </row>
    <row r="74" spans="1:10" x14ac:dyDescent="0.3">
      <c r="A74" s="216"/>
      <c r="B74" s="216"/>
      <c r="C74" s="216"/>
      <c r="D74" s="216"/>
      <c r="E74" s="216"/>
    </row>
    <row r="75" spans="1:10" x14ac:dyDescent="0.3">
      <c r="A75" s="216"/>
      <c r="B75" s="216"/>
      <c r="C75" s="216"/>
      <c r="D75" s="216"/>
      <c r="E75" s="216"/>
    </row>
    <row r="76" spans="1:10" x14ac:dyDescent="0.3">
      <c r="A76" s="216"/>
      <c r="B76" s="224"/>
      <c r="C76" s="225"/>
      <c r="D76" s="216"/>
      <c r="E76" s="216"/>
    </row>
    <row r="77" spans="1:10" x14ac:dyDescent="0.3">
      <c r="A77" s="216"/>
      <c r="B77" s="226"/>
      <c r="C77" s="227"/>
      <c r="D77" s="217"/>
      <c r="E77" s="216"/>
    </row>
    <row r="78" spans="1:10" x14ac:dyDescent="0.3">
      <c r="A78" s="216"/>
      <c r="B78" s="226"/>
      <c r="C78" s="227"/>
      <c r="D78" s="217"/>
      <c r="E78" s="216"/>
    </row>
    <row r="79" spans="1:10" x14ac:dyDescent="0.3">
      <c r="A79" s="216"/>
      <c r="B79" s="226"/>
      <c r="C79" s="227"/>
      <c r="D79" s="217"/>
      <c r="E79" s="216"/>
    </row>
    <row r="80" spans="1:10" x14ac:dyDescent="0.3">
      <c r="A80" s="216"/>
      <c r="B80" s="226"/>
      <c r="C80" s="227"/>
      <c r="D80" s="217"/>
      <c r="E80" s="216"/>
    </row>
    <row r="81" spans="1:5" x14ac:dyDescent="0.3">
      <c r="A81" s="216"/>
      <c r="B81" s="226"/>
      <c r="C81" s="227"/>
      <c r="D81" s="217"/>
      <c r="E81" s="216"/>
    </row>
    <row r="82" spans="1:5" x14ac:dyDescent="0.3">
      <c r="A82" s="216"/>
      <c r="B82" s="226"/>
      <c r="C82" s="227"/>
      <c r="D82" s="217"/>
      <c r="E82" s="216"/>
    </row>
    <row r="83" spans="1:5" x14ac:dyDescent="0.3">
      <c r="A83" s="216"/>
      <c r="B83" s="226"/>
      <c r="C83" s="227"/>
      <c r="D83" s="217"/>
      <c r="E83" s="216"/>
    </row>
    <row r="84" spans="1:5" x14ac:dyDescent="0.3">
      <c r="A84" s="216"/>
      <c r="B84" s="226"/>
      <c r="C84" s="227"/>
      <c r="D84" s="217"/>
      <c r="E84" s="216"/>
    </row>
    <row r="85" spans="1:5" x14ac:dyDescent="0.3">
      <c r="A85" s="216"/>
      <c r="B85" s="226"/>
      <c r="C85" s="227"/>
      <c r="D85" s="217"/>
      <c r="E85" s="216"/>
    </row>
    <row r="86" spans="1:5" x14ac:dyDescent="0.3">
      <c r="A86" s="216"/>
      <c r="B86" s="226"/>
      <c r="C86" s="227"/>
      <c r="D86" s="217"/>
      <c r="E86" s="216"/>
    </row>
    <row r="87" spans="1:5" x14ac:dyDescent="0.3">
      <c r="A87" s="216"/>
      <c r="B87" s="226"/>
      <c r="C87" s="227"/>
      <c r="D87" s="217"/>
      <c r="E87" s="216"/>
    </row>
    <row r="88" spans="1:5" x14ac:dyDescent="0.3">
      <c r="A88" s="216"/>
      <c r="B88" s="226"/>
      <c r="C88" s="228"/>
      <c r="D88" s="217"/>
      <c r="E88" s="216"/>
    </row>
    <row r="89" spans="1:5" x14ac:dyDescent="0.3">
      <c r="A89" s="216"/>
      <c r="B89" s="226"/>
      <c r="C89" s="227"/>
      <c r="D89" s="217"/>
      <c r="E89" s="216"/>
    </row>
    <row r="90" spans="1:5" x14ac:dyDescent="0.3">
      <c r="A90" s="216"/>
      <c r="B90" s="226"/>
      <c r="C90" s="227"/>
      <c r="D90" s="217"/>
      <c r="E90" s="216"/>
    </row>
    <row r="91" spans="1:5" x14ac:dyDescent="0.3">
      <c r="A91" s="216"/>
      <c r="B91" s="226"/>
      <c r="C91" s="227"/>
      <c r="D91" s="217"/>
      <c r="E91" s="216"/>
    </row>
    <row r="92" spans="1:5" x14ac:dyDescent="0.3">
      <c r="A92" s="216"/>
      <c r="B92" s="226"/>
      <c r="C92" s="227"/>
      <c r="D92" s="217"/>
      <c r="E92" s="216"/>
    </row>
    <row r="93" spans="1:5" x14ac:dyDescent="0.3">
      <c r="A93" s="216"/>
      <c r="B93" s="226"/>
      <c r="C93" s="227"/>
      <c r="D93" s="217"/>
      <c r="E93" s="216"/>
    </row>
    <row r="94" spans="1:5" x14ac:dyDescent="0.3">
      <c r="A94" s="216"/>
      <c r="B94" s="226"/>
      <c r="C94" s="227"/>
      <c r="D94" s="217"/>
      <c r="E94" s="216"/>
    </row>
    <row r="95" spans="1:5" x14ac:dyDescent="0.3">
      <c r="A95" s="216"/>
      <c r="B95" s="226"/>
      <c r="C95" s="227"/>
      <c r="D95" s="217"/>
      <c r="E95" s="216"/>
    </row>
    <row r="96" spans="1:5" x14ac:dyDescent="0.3">
      <c r="A96" s="216"/>
      <c r="B96" s="226"/>
      <c r="C96" s="227"/>
      <c r="D96" s="217"/>
      <c r="E96" s="216"/>
    </row>
    <row r="97" spans="1:5" x14ac:dyDescent="0.3">
      <c r="A97" s="216"/>
      <c r="B97" s="226"/>
      <c r="C97" s="227"/>
      <c r="D97" s="217"/>
      <c r="E97" s="216"/>
    </row>
    <row r="98" spans="1:5" x14ac:dyDescent="0.3">
      <c r="A98" s="216"/>
      <c r="B98" s="226"/>
      <c r="C98" s="227"/>
      <c r="D98" s="217"/>
      <c r="E98" s="216"/>
    </row>
    <row r="99" spans="1:5" x14ac:dyDescent="0.3">
      <c r="A99" s="216"/>
      <c r="B99" s="226"/>
      <c r="C99" s="227"/>
      <c r="D99" s="217"/>
      <c r="E99" s="216"/>
    </row>
    <row r="100" spans="1:5" x14ac:dyDescent="0.3">
      <c r="A100" s="216"/>
      <c r="B100" s="226"/>
      <c r="C100" s="227"/>
      <c r="D100" s="217"/>
      <c r="E100" s="216"/>
    </row>
    <row r="101" spans="1:5" x14ac:dyDescent="0.3">
      <c r="A101" s="216"/>
      <c r="B101" s="226"/>
      <c r="C101" s="227"/>
      <c r="D101" s="217"/>
      <c r="E101" s="216"/>
    </row>
    <row r="102" spans="1:5" x14ac:dyDescent="0.3">
      <c r="A102" s="216"/>
      <c r="B102" s="226"/>
      <c r="C102" s="227"/>
      <c r="D102" s="217"/>
      <c r="E102" s="216"/>
    </row>
    <row r="103" spans="1:5" x14ac:dyDescent="0.3">
      <c r="A103" s="216"/>
      <c r="B103" s="226"/>
      <c r="C103" s="227"/>
      <c r="D103" s="217"/>
      <c r="E103" s="216"/>
    </row>
    <row r="104" spans="1:5" x14ac:dyDescent="0.3">
      <c r="A104" s="216"/>
      <c r="B104" s="216"/>
      <c r="C104" s="216"/>
      <c r="D104" s="216"/>
      <c r="E104" s="216"/>
    </row>
    <row r="105" spans="1:5" x14ac:dyDescent="0.3">
      <c r="A105" s="216"/>
      <c r="B105" s="216"/>
      <c r="C105" s="204"/>
      <c r="D105" s="204"/>
      <c r="E105" s="216"/>
    </row>
    <row r="106" spans="1:5" x14ac:dyDescent="0.3">
      <c r="A106" s="216"/>
      <c r="B106" s="216"/>
      <c r="C106" s="216"/>
      <c r="D106" s="216"/>
      <c r="E106" s="216"/>
    </row>
    <row r="107" spans="1:5" x14ac:dyDescent="0.3">
      <c r="A107" s="216"/>
      <c r="B107" s="216"/>
      <c r="C107" s="216"/>
      <c r="D107" s="217"/>
      <c r="E107" s="216"/>
    </row>
    <row r="108" spans="1:5" x14ac:dyDescent="0.3">
      <c r="A108" s="216"/>
      <c r="B108" s="216"/>
      <c r="C108" s="216"/>
      <c r="D108" s="217"/>
      <c r="E108" s="216"/>
    </row>
  </sheetData>
  <mergeCells count="8">
    <mergeCell ref="D40:D41"/>
    <mergeCell ref="E40:E41"/>
    <mergeCell ref="F40:F41"/>
    <mergeCell ref="F1:G1"/>
    <mergeCell ref="B2:G2"/>
    <mergeCell ref="E7:E8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8" scale="95" orientation="portrait" r:id="rId1"/>
  <rowBreaks count="1" manualBreakCount="1">
    <brk id="7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</vt:i4>
      </vt:variant>
    </vt:vector>
  </HeadingPairs>
  <TitlesOfParts>
    <vt:vector size="14" baseType="lpstr">
      <vt:lpstr>1_</vt:lpstr>
      <vt:lpstr>2A</vt:lpstr>
      <vt:lpstr>2B</vt:lpstr>
      <vt:lpstr>2C</vt:lpstr>
      <vt:lpstr>2D</vt:lpstr>
      <vt:lpstr>3</vt:lpstr>
      <vt:lpstr>4</vt:lpstr>
      <vt:lpstr>5</vt:lpstr>
      <vt:lpstr>6</vt:lpstr>
      <vt:lpstr>7</vt:lpstr>
      <vt:lpstr>8</vt:lpstr>
      <vt:lpstr>9</vt:lpstr>
      <vt:lpstr>2021 tagdíj</vt:lpstr>
      <vt:lpstr>'2021 tagdíj'!Nyomtatási_terület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2021-09-21T16:24:39Z</cp:lastPrinted>
  <dcterms:created xsi:type="dcterms:W3CDTF">2013-02-08T06:54:51Z</dcterms:created>
  <dcterms:modified xsi:type="dcterms:W3CDTF">2021-09-21T18:12:48Z</dcterms:modified>
</cp:coreProperties>
</file>