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enzugy\Molnárné Nagy Edina\KISTÉRSÉG\Kistérség 2020\költségvetés\"/>
    </mc:Choice>
  </mc:AlternateContent>
  <bookViews>
    <workbookView xWindow="396" yWindow="1032" windowWidth="19812" windowHeight="6888" activeTab="5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3" sheetId="8" r:id="rId6"/>
  </sheets>
  <externalReferences>
    <externalReference r:id="rId7"/>
    <externalReference r:id="rId8"/>
    <externalReference r:id="rId9"/>
  </externalReferences>
  <calcPr calcId="162913"/>
</workbook>
</file>

<file path=xl/calcChain.xml><?xml version="1.0" encoding="utf-8"?>
<calcChain xmlns="http://schemas.openxmlformats.org/spreadsheetml/2006/main">
  <c r="F33" i="8" l="1"/>
  <c r="F36" i="8" s="1"/>
  <c r="G33" i="8"/>
  <c r="D33" i="8"/>
  <c r="C33" i="8"/>
  <c r="C34" i="8"/>
  <c r="G27" i="8"/>
  <c r="E27" i="8"/>
  <c r="F12" i="8"/>
  <c r="F13" i="8" s="1"/>
  <c r="G44" i="8"/>
  <c r="C44" i="8"/>
  <c r="D35" i="8"/>
  <c r="G20" i="8"/>
  <c r="F20" i="8"/>
  <c r="F43" i="8"/>
  <c r="F41" i="8"/>
  <c r="B43" i="8"/>
  <c r="B42" i="8"/>
  <c r="B41" i="8"/>
  <c r="D27" i="8"/>
  <c r="B27" i="8"/>
  <c r="G26" i="8"/>
  <c r="G34" i="8" s="1"/>
  <c r="E26" i="8"/>
  <c r="D26" i="8"/>
  <c r="D34" i="8" s="1"/>
  <c r="C26" i="8"/>
  <c r="B26" i="8"/>
  <c r="G25" i="8"/>
  <c r="F25" i="8"/>
  <c r="F28" i="8" s="1"/>
  <c r="E25" i="8"/>
  <c r="D25" i="8"/>
  <c r="C25" i="8"/>
  <c r="B25" i="8"/>
  <c r="G12" i="8"/>
  <c r="G13" i="8" s="1"/>
  <c r="D12" i="8"/>
  <c r="C12" i="8"/>
  <c r="B12" i="8"/>
  <c r="E11" i="8"/>
  <c r="D11" i="8"/>
  <c r="C11" i="8"/>
  <c r="B11" i="8"/>
  <c r="E10" i="8"/>
  <c r="D10" i="8"/>
  <c r="C10" i="8"/>
  <c r="B10" i="8"/>
  <c r="D36" i="8" l="1"/>
  <c r="B36" i="8"/>
  <c r="H33" i="8"/>
  <c r="G36" i="8"/>
  <c r="H35" i="8"/>
  <c r="E36" i="8"/>
  <c r="H34" i="8"/>
  <c r="C36" i="8"/>
  <c r="H17" i="8"/>
  <c r="D28" i="8"/>
  <c r="D20" i="8"/>
  <c r="B13" i="8"/>
  <c r="F44" i="8"/>
  <c r="H18" i="8"/>
  <c r="C13" i="8"/>
  <c r="C20" i="8"/>
  <c r="E20" i="8"/>
  <c r="H19" i="8"/>
  <c r="B20" i="8"/>
  <c r="H26" i="8"/>
  <c r="G28" i="8"/>
  <c r="C28" i="8"/>
  <c r="B28" i="8"/>
  <c r="D13" i="8"/>
  <c r="E13" i="8"/>
  <c r="H12" i="8"/>
  <c r="E28" i="8"/>
  <c r="B44" i="8"/>
  <c r="H10" i="8"/>
  <c r="H11" i="8"/>
  <c r="H27" i="8"/>
  <c r="H25" i="8"/>
  <c r="H36" i="8" l="1"/>
  <c r="H20" i="8"/>
  <c r="H13" i="8"/>
  <c r="H28" i="8"/>
  <c r="G31" i="2" l="1"/>
  <c r="G33" i="2" s="1"/>
  <c r="G19" i="2"/>
  <c r="F19" i="2"/>
  <c r="G30" i="2" l="1"/>
  <c r="F28" i="2"/>
  <c r="F24" i="2"/>
  <c r="F25" i="2"/>
  <c r="F26" i="2"/>
  <c r="E27" i="2"/>
  <c r="F27" i="2" s="1"/>
  <c r="G18" i="2"/>
  <c r="G21" i="2" s="1"/>
  <c r="E19" i="2"/>
  <c r="E13" i="2" l="1"/>
  <c r="F13" i="2" s="1"/>
  <c r="F16" i="3" l="1"/>
  <c r="F18" i="3"/>
  <c r="F22" i="3"/>
  <c r="F24" i="3"/>
  <c r="F25" i="3"/>
  <c r="F29" i="3"/>
  <c r="D49" i="3"/>
  <c r="D52" i="3"/>
  <c r="D53" i="3"/>
  <c r="D50" i="3"/>
  <c r="D51" i="3"/>
  <c r="B48" i="3"/>
  <c r="B47" i="3"/>
  <c r="B46" i="3"/>
  <c r="B45" i="3"/>
  <c r="B44" i="3"/>
  <c r="B43" i="3"/>
  <c r="B42" i="3"/>
  <c r="B41" i="3"/>
  <c r="B40" i="3"/>
  <c r="B39" i="3"/>
  <c r="B38" i="3"/>
  <c r="B54" i="3" l="1"/>
  <c r="B31" i="3" l="1"/>
  <c r="B28" i="3"/>
  <c r="F28" i="3" s="1"/>
  <c r="B26" i="3"/>
  <c r="B23" i="3"/>
  <c r="B17" i="3"/>
  <c r="B15" i="3"/>
  <c r="B14" i="3"/>
  <c r="B13" i="3"/>
  <c r="B12" i="3"/>
  <c r="D42" i="4"/>
  <c r="D44" i="4"/>
  <c r="D45" i="4"/>
  <c r="D43" i="4"/>
  <c r="C39" i="4"/>
  <c r="F14" i="3" l="1"/>
  <c r="F13" i="3"/>
  <c r="B27" i="3"/>
  <c r="F26" i="3"/>
  <c r="F12" i="3"/>
  <c r="B30" i="3"/>
  <c r="B33" i="3" s="1"/>
  <c r="B19" i="3"/>
  <c r="B21" i="3" s="1"/>
  <c r="B41" i="4" l="1"/>
  <c r="B40" i="4"/>
  <c r="B39" i="4"/>
  <c r="B38" i="4"/>
  <c r="B36" i="4"/>
  <c r="F17" i="4"/>
  <c r="F21" i="4"/>
  <c r="F23" i="4"/>
  <c r="F24" i="4"/>
  <c r="F28" i="4"/>
  <c r="F23" i="5"/>
  <c r="F24" i="5"/>
  <c r="F25" i="5"/>
  <c r="F27" i="5"/>
  <c r="F30" i="5"/>
  <c r="F31" i="5"/>
  <c r="F18" i="5"/>
  <c r="B30" i="4"/>
  <c r="B27" i="4"/>
  <c r="F27" i="4" s="1"/>
  <c r="B26" i="4"/>
  <c r="B25" i="4"/>
  <c r="B22" i="4"/>
  <c r="B16" i="4"/>
  <c r="B15" i="4"/>
  <c r="B14" i="2" s="1"/>
  <c r="B14" i="4"/>
  <c r="B13" i="4"/>
  <c r="B12" i="4"/>
  <c r="C12" i="5"/>
  <c r="C13" i="5"/>
  <c r="E12" i="2" s="1"/>
  <c r="F12" i="2" s="1"/>
  <c r="C15" i="5"/>
  <c r="E15" i="2" s="1"/>
  <c r="F15" i="2" s="1"/>
  <c r="C26" i="5"/>
  <c r="C33" i="5"/>
  <c r="C19" i="5" l="1"/>
  <c r="C22" i="5" s="1"/>
  <c r="E11" i="2"/>
  <c r="F11" i="2" s="1"/>
  <c r="F25" i="4"/>
  <c r="F14" i="4"/>
  <c r="F13" i="4"/>
  <c r="F16" i="4"/>
  <c r="F12" i="4"/>
  <c r="B29" i="4"/>
  <c r="B32" i="4" s="1"/>
  <c r="B46" i="4"/>
  <c r="C32" i="5"/>
  <c r="B18" i="4"/>
  <c r="B20" i="4" s="1"/>
  <c r="C35" i="5" l="1"/>
  <c r="D27" i="2"/>
  <c r="B15" i="5"/>
  <c r="B20" i="5"/>
  <c r="F20" i="5" s="1"/>
  <c r="D31" i="2"/>
  <c r="F15" i="5" l="1"/>
  <c r="B15" i="2"/>
  <c r="D19" i="2"/>
  <c r="B28" i="5"/>
  <c r="B29" i="5"/>
  <c r="F29" i="5" s="1"/>
  <c r="B26" i="5"/>
  <c r="F26" i="5" s="1"/>
  <c r="B17" i="5"/>
  <c r="B16" i="5"/>
  <c r="F16" i="5" s="1"/>
  <c r="B14" i="5"/>
  <c r="C41" i="4"/>
  <c r="C40" i="4"/>
  <c r="C38" i="4"/>
  <c r="C30" i="4"/>
  <c r="F26" i="4"/>
  <c r="C22" i="4"/>
  <c r="F22" i="4" s="1"/>
  <c r="C15" i="4"/>
  <c r="F15" i="4" s="1"/>
  <c r="C47" i="3"/>
  <c r="C45" i="3"/>
  <c r="C44" i="3"/>
  <c r="C43" i="3"/>
  <c r="C42" i="3"/>
  <c r="C41" i="3"/>
  <c r="C40" i="3"/>
  <c r="C39" i="3"/>
  <c r="C38" i="3"/>
  <c r="C23" i="3"/>
  <c r="F23" i="3" l="1"/>
  <c r="E23" i="2"/>
  <c r="F17" i="5"/>
  <c r="B16" i="2"/>
  <c r="F28" i="5"/>
  <c r="B27" i="2"/>
  <c r="F14" i="5"/>
  <c r="B13" i="2"/>
  <c r="C46" i="4"/>
  <c r="F46" i="4" s="1"/>
  <c r="F30" i="4"/>
  <c r="C31" i="3"/>
  <c r="C17" i="3"/>
  <c r="C15" i="3"/>
  <c r="F17" i="3" l="1"/>
  <c r="E16" i="2"/>
  <c r="F15" i="3"/>
  <c r="E14" i="2"/>
  <c r="F14" i="2" s="1"/>
  <c r="F23" i="2"/>
  <c r="F30" i="2" s="1"/>
  <c r="F33" i="2" s="1"/>
  <c r="E30" i="2"/>
  <c r="E33" i="2" s="1"/>
  <c r="F31" i="3"/>
  <c r="H58" i="3"/>
  <c r="H45" i="3"/>
  <c r="H44" i="3"/>
  <c r="H43" i="3"/>
  <c r="H42" i="3"/>
  <c r="H40" i="3"/>
  <c r="H39" i="3"/>
  <c r="H38" i="3"/>
  <c r="E18" i="2" l="1"/>
  <c r="E21" i="2" s="1"/>
  <c r="F16" i="2"/>
  <c r="F18" i="2" s="1"/>
  <c r="F21" i="2" s="1"/>
  <c r="H47" i="3"/>
  <c r="H41" i="3"/>
  <c r="C27" i="3"/>
  <c r="F27" i="3" s="1"/>
  <c r="D41" i="4" l="1"/>
  <c r="D39" i="4"/>
  <c r="D36" i="4"/>
  <c r="D47" i="3"/>
  <c r="D45" i="3"/>
  <c r="D44" i="3"/>
  <c r="D43" i="3"/>
  <c r="D42" i="3"/>
  <c r="D41" i="3"/>
  <c r="D40" i="3"/>
  <c r="D39" i="3"/>
  <c r="C29" i="2"/>
  <c r="C26" i="2"/>
  <c r="C24" i="2"/>
  <c r="C17" i="2"/>
  <c r="D38" i="4" l="1"/>
  <c r="D38" i="3"/>
  <c r="C18" i="4"/>
  <c r="F18" i="4" s="1"/>
  <c r="D13" i="2"/>
  <c r="D16" i="2"/>
  <c r="B25" i="2"/>
  <c r="D25" i="2"/>
  <c r="B23" i="2"/>
  <c r="D23" i="2"/>
  <c r="B28" i="2"/>
  <c r="C16" i="2" l="1"/>
  <c r="C20" i="4"/>
  <c r="F20" i="4" s="1"/>
  <c r="C25" i="2"/>
  <c r="D30" i="2"/>
  <c r="D33" i="2" s="1"/>
  <c r="C28" i="2"/>
  <c r="C23" i="2"/>
  <c r="B32" i="5" l="1"/>
  <c r="F32" i="5" s="1"/>
  <c r="D40" i="4" l="1"/>
  <c r="D46" i="4" s="1"/>
  <c r="C27" i="2"/>
  <c r="B30" i="2"/>
  <c r="C30" i="2" l="1"/>
  <c r="C29" i="4" l="1"/>
  <c r="F29" i="4" s="1"/>
  <c r="C32" i="4" l="1"/>
  <c r="F32" i="4" s="1"/>
  <c r="D15" i="2" l="1"/>
  <c r="C19" i="3" l="1"/>
  <c r="F19" i="3" s="1"/>
  <c r="C46" i="3" l="1"/>
  <c r="C21" i="3"/>
  <c r="F21" i="3" s="1"/>
  <c r="C13" i="2"/>
  <c r="H46" i="3" l="1"/>
  <c r="D46" i="3"/>
  <c r="C48" i="3"/>
  <c r="C54" i="3" s="1"/>
  <c r="H48" i="3" l="1"/>
  <c r="H54" i="3"/>
  <c r="D48" i="3"/>
  <c r="D54" i="3" s="1"/>
  <c r="C30" i="3"/>
  <c r="F30" i="3" s="1"/>
  <c r="C33" i="3" l="1"/>
  <c r="F33" i="3" s="1"/>
  <c r="I25" i="8" l="1"/>
  <c r="B19" i="2" l="1"/>
  <c r="B33" i="5"/>
  <c r="B31" i="2" s="1"/>
  <c r="F33" i="5" l="1"/>
  <c r="C19" i="2"/>
  <c r="B35" i="5"/>
  <c r="F35" i="5" s="1"/>
  <c r="C31" i="2" l="1"/>
  <c r="B33" i="2"/>
  <c r="C33" i="2" s="1"/>
  <c r="B13" i="5" l="1"/>
  <c r="B12" i="5"/>
  <c r="F13" i="5" l="1"/>
  <c r="B12" i="2"/>
  <c r="F12" i="5"/>
  <c r="B11" i="2"/>
  <c r="D12" i="2"/>
  <c r="D11" i="2"/>
  <c r="B19" i="5"/>
  <c r="F19" i="5" s="1"/>
  <c r="D18" i="2" l="1"/>
  <c r="D21" i="2" s="1"/>
  <c r="C12" i="2"/>
  <c r="B22" i="5"/>
  <c r="F22" i="5" s="1"/>
  <c r="C11" i="2"/>
  <c r="B18" i="2"/>
  <c r="C18" i="2" l="1"/>
  <c r="B21" i="2"/>
  <c r="C21" i="2" l="1"/>
</calcChain>
</file>

<file path=xl/sharedStrings.xml><?xml version="1.0" encoding="utf-8"?>
<sst xmlns="http://schemas.openxmlformats.org/spreadsheetml/2006/main" count="362" uniqueCount="154">
  <si>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</si>
  <si>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</si>
  <si>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</si>
  <si>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</si>
  <si>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</si>
  <si>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</si>
  <si>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</si>
  <si>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</si>
  <si>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</si>
  <si>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</si>
  <si>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</si>
  <si>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</si>
  <si>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PÉNZFORGALMI MÉRLEG</t>
  </si>
  <si>
    <t>MOSONMAGYARÓVÁRI TÖBBCÉLÚ KISTÉRSÉGI TÁRSULÁS ÉS KÖLTSÉGVETÉSI SZERVEI</t>
  </si>
  <si>
    <t>kötelező</t>
  </si>
  <si>
    <t>önként</t>
  </si>
  <si>
    <t>eredeti</t>
  </si>
  <si>
    <t>Rovatrend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</si>
  <si>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</si>
  <si>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</si>
  <si>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</si>
  <si>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</si>
  <si>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</si>
  <si>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</si>
  <si>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</si>
  <si>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</si>
  <si>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</si>
  <si>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</si>
  <si>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</si>
  <si>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</si>
  <si>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</si>
  <si>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</si>
  <si>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K512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</si>
  <si>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</si>
  <si>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</si>
  <si>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</si>
  <si>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</si>
  <si>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</si>
  <si>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</si>
  <si>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</si>
  <si>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</si>
  <si>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</si>
  <si>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</si>
  <si>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</si>
  <si>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</si>
  <si>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</si>
  <si>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</si>
  <si>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</si>
  <si>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</si>
  <si>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</si>
  <si>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</si>
  <si>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</si>
  <si>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</si>
  <si>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</si>
  <si>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</si>
  <si>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</si>
  <si>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</si>
  <si>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</si>
  <si>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</si>
  <si>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</si>
  <si>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</si>
  <si>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</si>
  <si>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</si>
  <si>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</si>
  <si>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</si>
  <si>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2./C SZÁMÚ MELLÉKLET</t>
  </si>
  <si>
    <t>Felügyeleti szervtől átvett támogatás</t>
  </si>
  <si>
    <t>Szociális és gyermekjóléti alapszolg., állami támogatás</t>
  </si>
  <si>
    <t>Gyermekek átmeneti int. Ellátása, állami támogatás</t>
  </si>
  <si>
    <t>Összesen</t>
  </si>
  <si>
    <t>2./D SZÁMÚ MELLÉKLET</t>
  </si>
  <si>
    <t>*</t>
  </si>
  <si>
    <t>Felügyelet alá tartozó költségvetési szerv. Támogat.</t>
  </si>
  <si>
    <t>K915</t>
  </si>
  <si>
    <t>3. SZÁMÚ MELLÉKLET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</si>
  <si>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</si>
  <si>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</si>
  <si>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</si>
  <si>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</si>
  <si>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</si>
  <si>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</si>
  <si>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</si>
  <si>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</si>
  <si>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</si>
  <si>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</si>
  <si>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</si>
  <si>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Kiadások és Bevételek működési egyensúlya</t>
  </si>
  <si>
    <t>térségi társulás támogatása</t>
  </si>
  <si>
    <t>Kórház támogatására</t>
  </si>
  <si>
    <t>évi kétszeri befizetés</t>
  </si>
  <si>
    <t>Szolidaritási alap</t>
  </si>
  <si>
    <t>Felújítási alap</t>
  </si>
  <si>
    <t>K5</t>
  </si>
  <si>
    <t>K513</t>
  </si>
  <si>
    <t>B16, 816</t>
  </si>
  <si>
    <t>Maradvány felhasználást</t>
  </si>
  <si>
    <t>Maradvány felhasználás</t>
  </si>
  <si>
    <t>GYÁÓ bértámogatás és intézményüzemeltetési támogatás</t>
  </si>
  <si>
    <t>Család és Gyermekjóléti Központ</t>
  </si>
  <si>
    <t>tárgyévi adatok  Ft-ban</t>
  </si>
  <si>
    <t>tárgyévi adatok Ft-ban</t>
  </si>
  <si>
    <t>adatok  Ft-ban</t>
  </si>
  <si>
    <t>Működési kiadások  Ft</t>
  </si>
  <si>
    <t>Működési bevételek Ft</t>
  </si>
  <si>
    <t>Felhalmozási kiadások  Ft</t>
  </si>
  <si>
    <t>Felhalmozási bevételek  Ft</t>
  </si>
  <si>
    <t>Felhalmozási és tőke jellegű bevételek, felhalmozási célú pénzeszköz átvételek</t>
  </si>
  <si>
    <t>Jelzőrendszer és fejlesztő támogatás átvétele</t>
  </si>
  <si>
    <t>Beszedett pótlólagos hozzájárulásból intézményre osztott**</t>
  </si>
  <si>
    <t>Térségi Társulástól érkező támogatás hozzájárulások*</t>
  </si>
  <si>
    <t>Gyermekjóléti szolgálat működéséhez kapcsolódó hozzájárulás</t>
  </si>
  <si>
    <t>Intézményi hiány gesztor önkormányzat támogatásával való kifinanszírozása</t>
  </si>
  <si>
    <t>Felhalmozási kiadások (Konyha fejlesztés miatt pinceében lévő tárolók megszűntetése helyett szekrények kialakítása 2018.11.20-án tanácsülésen engedélyezett előirányzat módosítás terhére.Konyha felújításból kimaradt 2018.09.18-i tanácsülésen engedélyezett előirányzat módosítás terhére megrendelt. Partner Service Kft-től tűzjelző rendszer kiépítése, ÓvárVill Kft.-től Energiahálózat bővítése. Csendes szoba kialakítása: Lions 300.000.-Ft ; Rotary 542.415.-Ft , 279.000.-Ft magánszemélytől )</t>
  </si>
  <si>
    <t>2019. év</t>
  </si>
  <si>
    <t>*Az intézmény finanszírozásába mint bevétel beszámítási kerül a gyermekjóléti szolgálatra fizetendő hozzájárulás üzemeltetési támogatás szerinti létszámarányos része.</t>
  </si>
  <si>
    <t>Mosonmagyaróvár Térségi Társulás (maradványfelhasználás, pályázati tartalék támogatások)</t>
  </si>
  <si>
    <t>Óvodai és iskolai szociális segítő tevékenység</t>
  </si>
  <si>
    <t>kiegészítő hozzájárulás (580 Ft+643 Ft)</t>
  </si>
  <si>
    <t>előirányzat 2020</t>
  </si>
  <si>
    <t>Mosonmagyaróvár, 2020. január 31.</t>
  </si>
  <si>
    <t>előirányzat 2020 adatok Ft-ban</t>
  </si>
  <si>
    <t>**Az 1.223 Ft összegű kiegészítő tagdíj az üzemeltetési támogatás alapján meghatározott átlaglétszám szerint került felosztásra.</t>
  </si>
  <si>
    <t>2020. év</t>
  </si>
  <si>
    <t>módosított</t>
  </si>
  <si>
    <t>előirányzat 2020.06.30 adatok Ft-ban</t>
  </si>
  <si>
    <t>Mosonmagyaróvár, 2020. szeptember 14.</t>
  </si>
  <si>
    <t>előirányzat 2020.06.30-i adatok Ft-ban</t>
  </si>
  <si>
    <t xml:space="preserve">Felhalmozási kiadások  </t>
  </si>
  <si>
    <t>Változás eredetihez képest</t>
  </si>
  <si>
    <t>Bérkompenzáció</t>
  </si>
  <si>
    <t>Jubileumi jutalom, felmentési bér</t>
  </si>
  <si>
    <t>Ingyenes étkezés</t>
  </si>
  <si>
    <t>Szociális ágazati pótlék</t>
  </si>
  <si>
    <t>Irányító szervi támogatás részletezése 2020. év eredeti és módosított</t>
  </si>
  <si>
    <t>2020. év eredeti</t>
  </si>
  <si>
    <t>2020.06.30-i módosított állapot</t>
  </si>
  <si>
    <t>előirányzat 2020. adatok Ft-ban</t>
  </si>
  <si>
    <t>Ellátottak pénzbeli juttatásai</t>
  </si>
  <si>
    <t>Irányító szervi támogatás részletezése 2020. év eredeti és módosított Ft-ban</t>
  </si>
  <si>
    <t>Egészségügyi kiegészítő pótlék</t>
  </si>
  <si>
    <t>előirányzat 2020.06.30</t>
  </si>
  <si>
    <t xml:space="preserve">K5 </t>
  </si>
  <si>
    <t>2020. ÉVI KÖLTSÉGVETÉSI HATÁROZATÁNAK MÓDOSÍTÁSÁHOZ</t>
  </si>
  <si>
    <t>módosító …/2020. (IX.22.) TT. Határozat</t>
  </si>
  <si>
    <t>2020. évi költségvetéséről szóló 4/2020. (II.18.) TT. Határozatot</t>
  </si>
  <si>
    <t>2020. ÉVI KÖLTSÉGVETÉSI HATÁROZAT MÓDOSÍTÁSA</t>
  </si>
  <si>
    <t>Eredeti</t>
  </si>
  <si>
    <t>Felhalmozási kiadások eredeti</t>
  </si>
  <si>
    <t>Módosított</t>
  </si>
  <si>
    <t>Felhalmozási kiadások/módosított</t>
  </si>
  <si>
    <t>Maradvány felhasználás/Társulási forrásból/ módosított</t>
  </si>
  <si>
    <t>Maradvány felhasználás/    Társulási forrásból/ eredeti</t>
  </si>
  <si>
    <t xml:space="preserve">2020. év </t>
  </si>
  <si>
    <t>Egyéb működési kiadások, pénzeszköz átadás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</si>
</sst>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F_t_-;\-* #,##0.00\ _F_t_-;_-* &quot;-&quot;??\ _F_t_-;_-@_-"/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</numFmts>
  <fonts count="27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BEEF4"/>
        <bgColor rgb="FFDBEEF4"/>
      </patternFill>
    </fill>
    <fill>
      <patternFill patternType="solid">
        <fgColor rgb="FFFCD5B5"/>
        <bgColor rgb="FFFCD5B5"/>
      </patternFill>
    </fill>
    <fill>
      <patternFill patternType="solid">
        <fgColor rgb="FFFFFF00"/>
        <bgColor rgb="FFFFFF00"/>
      </patternFill>
    </fill>
    <fill>
      <patternFill patternType="solid">
        <fgColor theme="9" tint="0.59999389629810485"/>
        <bgColor rgb="FFFCD5B5"/>
      </patternFill>
    </fill>
    <fill>
      <patternFill patternType="solid">
        <fgColor theme="9" tint="0.59999389629810485"/>
        <bgColor rgb="FFFCD5B4"/>
      </patternFill>
    </fill>
  </fills>
  <borders count="19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9" fontId="6" fillId="0" borderId="0" applyFont="0" applyFill="0" applyBorder="0" applyAlignment="0" applyProtection="0"/>
    <xf numFmtId="168" fontId="7" fillId="0" borderId="0" applyBorder="0" applyProtection="0"/>
    <xf numFmtId="164" fontId="7" fillId="0" borderId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164" fontId="9" fillId="0" borderId="0" applyBorder="0" applyProtection="0"/>
    <xf numFmtId="164" fontId="9" fillId="0" borderId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10" fillId="0" borderId="0" applyNumberFormat="0" applyBorder="0" applyProtection="0"/>
    <xf numFmtId="170" fontId="10" fillId="0" borderId="0" applyBorder="0" applyProtection="0"/>
    <xf numFmtId="9" fontId="6" fillId="0" borderId="0" applyFont="0" applyFill="0" applyBorder="0" applyAlignment="0" applyProtection="0"/>
    <xf numFmtId="0" fontId="5" fillId="0" borderId="0"/>
    <xf numFmtId="0" fontId="4" fillId="0" borderId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164" fontId="7" fillId="0" borderId="0" xfId="3" applyFont="1" applyFill="1" applyAlignment="1"/>
    <xf numFmtId="164" fontId="11" fillId="0" borderId="0" xfId="3" applyFont="1" applyFill="1" applyAlignment="1"/>
    <xf numFmtId="164" fontId="11" fillId="0" borderId="0" xfId="3" applyFont="1" applyFill="1" applyAlignment="1">
      <alignment horizontal="center"/>
    </xf>
    <xf numFmtId="164" fontId="13" fillId="0" borderId="0" xfId="3" applyFont="1" applyFill="1" applyAlignment="1">
      <alignment horizontal="center"/>
    </xf>
    <xf numFmtId="164" fontId="12" fillId="0" borderId="1" xfId="3" applyFont="1" applyFill="1" applyBorder="1" applyAlignment="1">
      <alignment horizontal="center" vertical="top" wrapText="1"/>
    </xf>
    <xf numFmtId="164" fontId="12" fillId="0" borderId="2" xfId="3" applyFont="1" applyFill="1" applyBorder="1" applyAlignment="1">
      <alignment horizontal="center" vertical="top" wrapText="1"/>
    </xf>
    <xf numFmtId="164" fontId="14" fillId="0" borderId="0" xfId="3" applyFont="1" applyFill="1" applyAlignment="1">
      <alignment horizontal="justify"/>
    </xf>
    <xf numFmtId="164" fontId="15" fillId="0" borderId="0" xfId="3" applyFont="1" applyFill="1" applyAlignment="1">
      <alignment horizontal="center"/>
    </xf>
    <xf numFmtId="164" fontId="16" fillId="2" borderId="0" xfId="3" applyFont="1" applyFill="1" applyAlignment="1">
      <alignment horizontal="center" wrapText="1"/>
    </xf>
    <xf numFmtId="164" fontId="17" fillId="0" borderId="7" xfId="3" applyFont="1" applyFill="1" applyBorder="1" applyAlignment="1">
      <alignment horizontal="center"/>
    </xf>
    <xf numFmtId="164" fontId="11" fillId="0" borderId="7" xfId="3" applyFont="1" applyFill="1" applyBorder="1" applyAlignment="1">
      <alignment horizontal="center"/>
    </xf>
    <xf numFmtId="164" fontId="17" fillId="0" borderId="8" xfId="3" applyFont="1" applyFill="1" applyBorder="1" applyAlignment="1">
      <alignment horizontal="center"/>
    </xf>
    <xf numFmtId="164" fontId="17" fillId="0" borderId="8" xfId="3" applyFont="1" applyFill="1" applyBorder="1" applyAlignment="1">
      <alignment horizontal="center" wrapText="1"/>
    </xf>
    <xf numFmtId="164" fontId="11" fillId="0" borderId="9" xfId="3" applyFont="1" applyFill="1" applyBorder="1" applyAlignment="1">
      <alignment horizontal="center"/>
    </xf>
    <xf numFmtId="164" fontId="18" fillId="0" borderId="10" xfId="3" applyFont="1" applyFill="1" applyBorder="1" applyAlignment="1"/>
    <xf numFmtId="166" fontId="18" fillId="0" borderId="10" xfId="3" applyNumberFormat="1" applyFont="1" applyFill="1" applyBorder="1" applyAlignment="1"/>
    <xf numFmtId="164" fontId="7" fillId="0" borderId="10" xfId="3" applyFont="1" applyFill="1" applyBorder="1" applyAlignment="1"/>
    <xf numFmtId="164" fontId="7" fillId="0" borderId="10" xfId="3" applyFont="1" applyFill="1" applyBorder="1" applyAlignment="1">
      <alignment wrapText="1"/>
    </xf>
    <xf numFmtId="166" fontId="18" fillId="0" borderId="11" xfId="3" applyNumberFormat="1" applyFont="1" applyFill="1" applyBorder="1" applyAlignment="1"/>
    <xf numFmtId="164" fontId="17" fillId="3" borderId="10" xfId="3" applyFont="1" applyFill="1" applyBorder="1" applyAlignment="1"/>
    <xf numFmtId="166" fontId="17" fillId="3" borderId="10" xfId="3" applyNumberFormat="1" applyFont="1" applyFill="1" applyBorder="1" applyAlignment="1"/>
    <xf numFmtId="166" fontId="17" fillId="3" borderId="11" xfId="3" applyNumberFormat="1" applyFont="1" applyFill="1" applyBorder="1" applyAlignment="1"/>
    <xf numFmtId="166" fontId="17" fillId="0" borderId="10" xfId="3" applyNumberFormat="1" applyFont="1" applyFill="1" applyBorder="1" applyAlignment="1"/>
    <xf numFmtId="166" fontId="17" fillId="0" borderId="11" xfId="3" applyNumberFormat="1" applyFont="1" applyFill="1" applyBorder="1" applyAlignment="1"/>
    <xf numFmtId="166" fontId="18" fillId="0" borderId="0" xfId="3" applyNumberFormat="1" applyFont="1" applyFill="1" applyAlignment="1"/>
    <xf numFmtId="164" fontId="19" fillId="0" borderId="10" xfId="3" applyFont="1" applyFill="1" applyBorder="1" applyAlignment="1"/>
    <xf numFmtId="164" fontId="18" fillId="0" borderId="0" xfId="3" applyFont="1" applyFill="1" applyAlignment="1"/>
    <xf numFmtId="164" fontId="17" fillId="0" borderId="10" xfId="3" applyFont="1" applyFill="1" applyBorder="1" applyAlignment="1"/>
    <xf numFmtId="166" fontId="17" fillId="0" borderId="12" xfId="3" applyNumberFormat="1" applyFont="1" applyFill="1" applyBorder="1" applyAlignment="1"/>
    <xf numFmtId="164" fontId="17" fillId="0" borderId="0" xfId="3" applyFont="1" applyFill="1" applyAlignment="1"/>
    <xf numFmtId="166" fontId="17" fillId="0" borderId="0" xfId="3" applyNumberFormat="1" applyFont="1" applyFill="1" applyAlignment="1"/>
    <xf numFmtId="164" fontId="16" fillId="2" borderId="0" xfId="3" applyFont="1" applyFill="1" applyAlignment="1"/>
    <xf numFmtId="164" fontId="16" fillId="2" borderId="0" xfId="3" applyFont="1" applyFill="1" applyAlignment="1">
      <alignment wrapText="1"/>
    </xf>
    <xf numFmtId="164" fontId="17" fillId="0" borderId="13" xfId="3" applyFont="1" applyFill="1" applyBorder="1" applyAlignment="1">
      <alignment horizontal="center"/>
    </xf>
    <xf numFmtId="164" fontId="17" fillId="0" borderId="14" xfId="3" applyFont="1" applyFill="1" applyBorder="1" applyAlignment="1">
      <alignment horizontal="center" wrapText="1"/>
    </xf>
    <xf numFmtId="49" fontId="0" fillId="0" borderId="10" xfId="0" applyNumberFormat="1" applyBorder="1"/>
    <xf numFmtId="49" fontId="0" fillId="0" borderId="10" xfId="0" applyNumberFormat="1" applyBorder="1" applyAlignment="1">
      <alignment wrapText="1"/>
    </xf>
    <xf numFmtId="167" fontId="11" fillId="0" borderId="0" xfId="1" applyNumberFormat="1" applyFont="1" applyFill="1" applyAlignment="1"/>
    <xf numFmtId="49" fontId="7" fillId="0" borderId="10" xfId="0" applyNumberFormat="1" applyFont="1" applyBorder="1" applyAlignment="1">
      <alignment wrapText="1"/>
    </xf>
    <xf numFmtId="164" fontId="15" fillId="0" borderId="0" xfId="3" applyFont="1" applyFill="1" applyAlignment="1">
      <alignment horizontal="center" wrapText="1"/>
    </xf>
    <xf numFmtId="164" fontId="7" fillId="0" borderId="0" xfId="3" applyFont="1" applyFill="1" applyAlignment="1">
      <alignment wrapText="1"/>
    </xf>
    <xf numFmtId="164" fontId="11" fillId="0" borderId="0" xfId="3" applyFont="1" applyFill="1" applyAlignment="1">
      <alignment wrapText="1"/>
    </xf>
    <xf numFmtId="164" fontId="11" fillId="4" borderId="10" xfId="3" applyFont="1" applyFill="1" applyBorder="1" applyAlignment="1">
      <alignment wrapText="1"/>
    </xf>
    <xf numFmtId="165" fontId="11" fillId="4" borderId="10" xfId="2" applyNumberFormat="1" applyFont="1" applyFill="1" applyBorder="1" applyAlignment="1"/>
    <xf numFmtId="164" fontId="7" fillId="0" borderId="11" xfId="3" applyFont="1" applyFill="1" applyBorder="1" applyAlignment="1">
      <alignment wrapText="1"/>
    </xf>
    <xf numFmtId="164" fontId="11" fillId="4" borderId="0" xfId="3" applyFont="1" applyFill="1" applyAlignment="1">
      <alignment wrapText="1"/>
    </xf>
    <xf numFmtId="165" fontId="11" fillId="0" borderId="0" xfId="2" applyNumberFormat="1" applyFont="1" applyFill="1" applyAlignment="1"/>
    <xf numFmtId="0" fontId="0" fillId="0" borderId="0" xfId="0"/>
    <xf numFmtId="164" fontId="7" fillId="0" borderId="15" xfId="3" applyFont="1" applyFill="1" applyBorder="1" applyAlignment="1"/>
    <xf numFmtId="167" fontId="7" fillId="0" borderId="15" xfId="1" applyNumberFormat="1" applyFont="1" applyFill="1" applyBorder="1" applyAlignment="1">
      <alignment horizontal="right"/>
    </xf>
    <xf numFmtId="164" fontId="7" fillId="0" borderId="7" xfId="3" applyFont="1" applyFill="1" applyBorder="1" applyAlignment="1"/>
    <xf numFmtId="0" fontId="20" fillId="0" borderId="0" xfId="0" applyFont="1" applyAlignment="1">
      <alignment wrapText="1"/>
    </xf>
    <xf numFmtId="165" fontId="15" fillId="0" borderId="0" xfId="3" applyNumberFormat="1" applyFont="1" applyFill="1" applyAlignment="1"/>
    <xf numFmtId="0" fontId="0" fillId="0" borderId="0" xfId="0" applyFill="1"/>
    <xf numFmtId="164" fontId="11" fillId="0" borderId="0" xfId="3" applyFont="1" applyFill="1" applyAlignment="1">
      <alignment horizontal="center"/>
    </xf>
    <xf numFmtId="0" fontId="0" fillId="0" borderId="0" xfId="0"/>
    <xf numFmtId="164" fontId="15" fillId="0" borderId="0" xfId="3" applyFont="1" applyFill="1" applyAlignment="1">
      <alignment horizontal="center"/>
    </xf>
    <xf numFmtId="164" fontId="11" fillId="0" borderId="0" xfId="3" applyFont="1" applyFill="1" applyAlignment="1">
      <alignment horizontal="center"/>
    </xf>
    <xf numFmtId="164" fontId="15" fillId="0" borderId="0" xfId="3" applyFont="1" applyFill="1" applyAlignment="1">
      <alignment horizontal="center"/>
    </xf>
    <xf numFmtId="0" fontId="0" fillId="0" borderId="0" xfId="0"/>
    <xf numFmtId="167" fontId="7" fillId="0" borderId="17" xfId="1" applyNumberFormat="1" applyFont="1" applyFill="1" applyBorder="1" applyAlignment="1">
      <alignment horizontal="right"/>
    </xf>
    <xf numFmtId="167" fontId="7" fillId="0" borderId="16" xfId="1" applyNumberFormat="1" applyFont="1" applyFill="1" applyBorder="1" applyAlignment="1">
      <alignment horizontal="right"/>
    </xf>
    <xf numFmtId="167" fontId="7" fillId="0" borderId="0" xfId="1" applyNumberFormat="1" applyFont="1" applyFill="1" applyAlignment="1"/>
    <xf numFmtId="9" fontId="7" fillId="0" borderId="0" xfId="12" applyFont="1" applyFill="1" applyAlignment="1"/>
    <xf numFmtId="164" fontId="18" fillId="0" borderId="10" xfId="3" applyFont="1" applyFill="1" applyBorder="1" applyAlignment="1">
      <alignment wrapText="1"/>
    </xf>
    <xf numFmtId="164" fontId="11" fillId="0" borderId="15" xfId="3" applyFont="1" applyFill="1" applyBorder="1" applyAlignment="1">
      <alignment wrapText="1"/>
    </xf>
    <xf numFmtId="0" fontId="0" fillId="0" borderId="0" xfId="0"/>
    <xf numFmtId="171" fontId="7" fillId="0" borderId="15" xfId="1" applyNumberFormat="1" applyFont="1" applyFill="1" applyBorder="1" applyAlignment="1">
      <alignment horizontal="right"/>
    </xf>
    <xf numFmtId="171" fontId="7" fillId="0" borderId="15" xfId="1" applyNumberFormat="1" applyFont="1" applyFill="1" applyBorder="1" applyAlignment="1"/>
    <xf numFmtId="171" fontId="7" fillId="0" borderId="16" xfId="1" applyNumberFormat="1" applyFont="1" applyFill="1" applyBorder="1" applyAlignment="1"/>
    <xf numFmtId="0" fontId="0" fillId="0" borderId="0" xfId="0"/>
    <xf numFmtId="0" fontId="0" fillId="0" borderId="0" xfId="0" applyAlignment="1"/>
    <xf numFmtId="164" fontId="22" fillId="0" borderId="0" xfId="3" applyFont="1" applyFill="1" applyAlignment="1"/>
    <xf numFmtId="165" fontId="23" fillId="0" borderId="0" xfId="3" applyNumberFormat="1" applyFont="1" applyFill="1" applyAlignment="1"/>
    <xf numFmtId="164" fontId="24" fillId="0" borderId="0" xfId="3" applyFont="1" applyFill="1" applyAlignment="1"/>
    <xf numFmtId="9" fontId="24" fillId="0" borderId="0" xfId="12" applyFont="1" applyFill="1" applyAlignment="1"/>
    <xf numFmtId="0" fontId="0" fillId="0" borderId="0" xfId="0"/>
    <xf numFmtId="169" fontId="22" fillId="0" borderId="0" xfId="1" applyFont="1" applyFill="1" applyAlignment="1"/>
    <xf numFmtId="164" fontId="11" fillId="0" borderId="0" xfId="3" applyFont="1" applyFill="1" applyAlignment="1">
      <alignment horizontal="center"/>
    </xf>
    <xf numFmtId="164" fontId="15" fillId="0" borderId="0" xfId="3" applyFont="1" applyFill="1" applyAlignment="1">
      <alignment horizontal="center"/>
    </xf>
    <xf numFmtId="167" fontId="7" fillId="0" borderId="16" xfId="1" applyNumberFormat="1" applyFont="1" applyFill="1" applyBorder="1" applyAlignment="1">
      <alignment horizontal="right"/>
    </xf>
    <xf numFmtId="167" fontId="7" fillId="0" borderId="17" xfId="1" applyNumberFormat="1" applyFont="1" applyFill="1" applyBorder="1" applyAlignment="1">
      <alignment horizontal="right"/>
    </xf>
    <xf numFmtId="0" fontId="0" fillId="0" borderId="0" xfId="0"/>
    <xf numFmtId="164" fontId="11" fillId="0" borderId="0" xfId="3" applyFont="1" applyFill="1" applyAlignment="1">
      <alignment horizontal="center"/>
    </xf>
    <xf numFmtId="167" fontId="11" fillId="0" borderId="15" xfId="1" applyNumberFormat="1" applyFont="1" applyFill="1" applyBorder="1" applyAlignment="1"/>
    <xf numFmtId="167" fontId="11" fillId="0" borderId="15" xfId="1" applyNumberFormat="1" applyFont="1" applyFill="1" applyBorder="1" applyAlignment="1">
      <alignment horizontal="right"/>
    </xf>
    <xf numFmtId="164" fontId="11" fillId="0" borderId="0" xfId="3" applyFont="1" applyFill="1" applyAlignment="1">
      <alignment horizontal="center" vertical="center" wrapText="1"/>
    </xf>
    <xf numFmtId="164" fontId="11" fillId="0" borderId="0" xfId="3" applyFont="1" applyFill="1" applyAlignment="1">
      <alignment horizontal="center" vertical="center"/>
    </xf>
    <xf numFmtId="164" fontId="11" fillId="0" borderId="9" xfId="3" applyFont="1" applyFill="1" applyBorder="1" applyAlignment="1">
      <alignment horizontal="center" vertical="center"/>
    </xf>
    <xf numFmtId="166" fontId="18" fillId="0" borderId="18" xfId="3" applyNumberFormat="1" applyFont="1" applyFill="1" applyBorder="1" applyAlignment="1"/>
    <xf numFmtId="164" fontId="17" fillId="5" borderId="10" xfId="3" applyFont="1" applyFill="1" applyBorder="1" applyAlignment="1"/>
    <xf numFmtId="166" fontId="17" fillId="5" borderId="11" xfId="3" applyNumberFormat="1" applyFont="1" applyFill="1" applyBorder="1" applyAlignment="1"/>
    <xf numFmtId="166" fontId="17" fillId="5" borderId="0" xfId="3" applyNumberFormat="1" applyFont="1" applyFill="1" applyAlignment="1"/>
    <xf numFmtId="166" fontId="17" fillId="5" borderId="13" xfId="3" applyNumberFormat="1" applyFont="1" applyFill="1" applyBorder="1" applyAlignment="1"/>
    <xf numFmtId="166" fontId="17" fillId="6" borderId="10" xfId="3" applyNumberFormat="1" applyFont="1" applyFill="1" applyBorder="1" applyAlignment="1"/>
    <xf numFmtId="164" fontId="25" fillId="0" borderId="0" xfId="3" applyFont="1" applyFill="1" applyAlignment="1"/>
    <xf numFmtId="164" fontId="14" fillId="0" borderId="3" xfId="3" applyFont="1" applyFill="1" applyBorder="1" applyAlignment="1">
      <alignment horizontal="center" vertical="center" wrapText="1"/>
    </xf>
    <xf numFmtId="164" fontId="14" fillId="0" borderId="5" xfId="3" applyFont="1" applyFill="1" applyBorder="1" applyAlignment="1">
      <alignment horizontal="center" vertical="center" wrapText="1"/>
    </xf>
    <xf numFmtId="164" fontId="14" fillId="0" borderId="4" xfId="3" applyFont="1" applyFill="1" applyBorder="1" applyAlignment="1">
      <alignment horizontal="center" vertical="center" wrapText="1"/>
    </xf>
    <xf numFmtId="164" fontId="14" fillId="0" borderId="2" xfId="3" applyFont="1" applyFill="1" applyBorder="1" applyAlignment="1">
      <alignment horizontal="center" vertical="center" wrapText="1"/>
    </xf>
    <xf numFmtId="164" fontId="11" fillId="0" borderId="0" xfId="3" applyFont="1" applyFill="1" applyAlignment="1">
      <alignment horizontal="center"/>
    </xf>
    <xf numFmtId="164" fontId="12" fillId="0" borderId="0" xfId="3" applyFont="1" applyFill="1" applyAlignment="1">
      <alignment horizontal="center"/>
    </xf>
    <xf numFmtId="164" fontId="13" fillId="0" borderId="0" xfId="3" applyFont="1" applyFill="1" applyAlignment="1">
      <alignment horizontal="center"/>
    </xf>
    <xf numFmtId="164" fontId="16" fillId="2" borderId="6" xfId="3" applyFont="1" applyFill="1" applyBorder="1" applyAlignment="1">
      <alignment horizontal="center" wrapText="1"/>
    </xf>
    <xf numFmtId="164" fontId="15" fillId="0" borderId="0" xfId="3" applyFont="1" applyFill="1" applyAlignment="1">
      <alignment horizontal="center"/>
    </xf>
    <xf numFmtId="167" fontId="7" fillId="0" borderId="16" xfId="1" applyNumberFormat="1" applyFont="1" applyFill="1" applyBorder="1" applyAlignment="1">
      <alignment horizontal="right"/>
    </xf>
    <xf numFmtId="167" fontId="7" fillId="0" borderId="17" xfId="1" applyNumberFormat="1" applyFont="1" applyFill="1" applyBorder="1" applyAlignment="1">
      <alignment horizontal="right"/>
    </xf>
    <xf numFmtId="0" fontId="6" fillId="0" borderId="0" xfId="0" applyFont="1"/>
    <xf numFmtId="165" fontId="7" fillId="0" borderId="10" xfId="2" applyNumberFormat="1" applyFont="1" applyFill="1" applyBorder="1" applyAlignment="1"/>
    <xf numFmtId="165" fontId="26" fillId="0" borderId="10" xfId="2" applyNumberFormat="1" applyFont="1" applyFill="1" applyBorder="1" applyAlignment="1"/>
    <xf numFmtId="165" fontId="11" fillId="4" borderId="0" xfId="3" applyNumberFormat="1" applyFont="1" applyFill="1" applyAlignment="1"/>
    <xf numFmtId="165" fontId="11" fillId="0" borderId="0" xfId="3" applyNumberFormat="1" applyFont="1" applyFill="1" applyAlignment="1"/>
    <xf numFmtId="0" fontId="6" fillId="0" borderId="0" xfId="0" applyFont="1" applyFill="1"/>
    <xf numFmtId="165" fontId="11" fillId="4" borderId="10" xfId="3" applyNumberFormat="1" applyFont="1" applyFill="1" applyBorder="1" applyAlignment="1"/>
    <xf numFmtId="167" fontId="24" fillId="0" borderId="0" xfId="1" applyNumberFormat="1" applyFont="1" applyFill="1" applyAlignment="1"/>
  </cellXfs>
  <cellStyles count="22">
    <cellStyle name="Excel Built-in Comma" xfId="2"/>
    <cellStyle name="Excel Built-in Normal" xfId="3"/>
    <cellStyle name="Ezres" xfId="1" builtinId="3" customBuiltin="1"/>
    <cellStyle name="Ezres 2" xfId="17"/>
    <cellStyle name="Ezres 2 2" xfId="21"/>
    <cellStyle name="Ezres 3" xfId="19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3 2" xfId="15"/>
    <cellStyle name="Normál 4" xfId="9"/>
    <cellStyle name="Normál 5" xfId="13"/>
    <cellStyle name="Normál 6" xfId="14"/>
    <cellStyle name="Normál 7" xfId="16"/>
    <cellStyle name="Normál 8" xfId="18"/>
    <cellStyle name="Normál 9" xfId="20"/>
    <cellStyle name="Result" xfId="10"/>
    <cellStyle name="Result2" xfId="11"/>
    <cellStyle name="Százalék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nkormanyzati%20Osztaly/Szab&#243;n&#233;%20Moln&#225;r%20Ildik&#243;/2020/Tervez&#233;s/M&#225;sodik%20k&#246;r/T&#233;rs&#233;gi%20T&#225;rsul&#225;s/T&#233;rs&#233;gi%20T&#225;rsul&#225;s%20k&#246;lts&#233;gvet&#233;s%202020%20maradv&#225;nnyal%20jav&#237;tot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0\Tervez&#233;s\M&#225;sodik%20k&#246;r\T&#233;rs&#233;gi%20T&#225;rsul&#225;s\T&#233;rs&#233;gi%20T&#225;rsul&#225;s%20k&#246;lts&#233;gvet&#233;s%202020%20maradv&#225;nnyal%20jav&#237;tot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MTT%202020.%20&#233;vi%20k&#246;lts&#233;gvet&#233;s%20mell&#233;kletek%20jav&#237;tot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2019.10.30"/>
      <sheetName val="KESZI 2019.10.30"/>
      <sheetName val="összefoglaló"/>
      <sheetName val="CSGYK bértervezet"/>
      <sheetName val="KESZI bértervezet"/>
      <sheetName val="CSGYK Jub.jutalom és felm. bér"/>
      <sheetName val="KESZI Jub.jutalom és felm. bér"/>
      <sheetName val="Maradvány terhére beruházások"/>
      <sheetName val="Maradvány terhére beruházás (2"/>
      <sheetName val="Engedélyezett létszám"/>
      <sheetName val="Engedélyezett létszám (2)"/>
      <sheetName val="tagdíjak (2)"/>
    </sheetNames>
    <sheetDataSet>
      <sheetData sheetId="0" refreshError="1">
        <row r="19">
          <cell r="F19">
            <v>980000</v>
          </cell>
        </row>
        <row r="24">
          <cell r="F24">
            <v>275750</v>
          </cell>
        </row>
        <row r="38">
          <cell r="F38">
            <v>4143450</v>
          </cell>
        </row>
        <row r="47">
          <cell r="F47">
            <v>3956155</v>
          </cell>
        </row>
        <row r="48">
          <cell r="F48">
            <v>16231148</v>
          </cell>
        </row>
        <row r="57">
          <cell r="F57">
            <v>23783151</v>
          </cell>
        </row>
        <row r="62">
          <cell r="F62">
            <v>0</v>
          </cell>
        </row>
        <row r="67">
          <cell r="F67">
            <v>0</v>
          </cell>
        </row>
        <row r="68">
          <cell r="F68">
            <v>764662875.21017981</v>
          </cell>
        </row>
        <row r="79">
          <cell r="F79">
            <v>483659197</v>
          </cell>
        </row>
        <row r="80">
          <cell r="F80">
            <v>152346895.21249998</v>
          </cell>
        </row>
        <row r="83">
          <cell r="F83">
            <v>80797682</v>
          </cell>
        </row>
        <row r="91">
          <cell r="F91">
            <v>80442710</v>
          </cell>
        </row>
        <row r="99">
          <cell r="F99">
            <v>47367657</v>
          </cell>
        </row>
        <row r="110">
          <cell r="F110">
            <v>0</v>
          </cell>
        </row>
      </sheetData>
      <sheetData sheetId="1" refreshError="1">
        <row r="24">
          <cell r="F24">
            <v>230087500</v>
          </cell>
        </row>
        <row r="25">
          <cell r="F25">
            <v>43990000.212499999</v>
          </cell>
        </row>
        <row r="64">
          <cell r="F64">
            <v>40102000</v>
          </cell>
        </row>
        <row r="65">
          <cell r="F65">
            <v>450000</v>
          </cell>
        </row>
        <row r="74">
          <cell r="F74">
            <v>0</v>
          </cell>
        </row>
        <row r="79">
          <cell r="F79">
            <v>0</v>
          </cell>
        </row>
        <row r="88">
          <cell r="E88">
            <v>50988654</v>
          </cell>
        </row>
        <row r="89">
          <cell r="E89">
            <v>48745354</v>
          </cell>
        </row>
        <row r="91">
          <cell r="E91">
            <v>2243300</v>
          </cell>
        </row>
        <row r="95">
          <cell r="E95">
            <v>1300000</v>
          </cell>
        </row>
        <row r="98">
          <cell r="E98">
            <v>1000000</v>
          </cell>
        </row>
        <row r="100">
          <cell r="E100">
            <v>6036652</v>
          </cell>
        </row>
        <row r="102">
          <cell r="E102">
            <v>255304194.21249998</v>
          </cell>
        </row>
        <row r="107">
          <cell r="E107">
            <v>37875658</v>
          </cell>
        </row>
        <row r="108">
          <cell r="E108">
            <v>53040000</v>
          </cell>
        </row>
        <row r="109">
          <cell r="E109">
            <v>38940000</v>
          </cell>
        </row>
        <row r="110">
          <cell r="E110">
            <v>10493869</v>
          </cell>
        </row>
        <row r="111">
          <cell r="E111">
            <v>3686240</v>
          </cell>
        </row>
        <row r="114">
          <cell r="E114">
            <v>80418749.212499976</v>
          </cell>
        </row>
        <row r="115">
          <cell r="E115">
            <v>30849678</v>
          </cell>
        </row>
      </sheetData>
      <sheetData sheetId="2" refreshError="1">
        <row r="24">
          <cell r="F24">
            <v>537090000</v>
          </cell>
        </row>
        <row r="25">
          <cell r="F25">
            <v>105914760</v>
          </cell>
        </row>
        <row r="64">
          <cell r="F64">
            <v>270979069</v>
          </cell>
        </row>
        <row r="65">
          <cell r="F65">
            <v>600000</v>
          </cell>
        </row>
        <row r="74">
          <cell r="F74">
            <v>5715000</v>
          </cell>
        </row>
        <row r="79">
          <cell r="F79">
            <v>1120855</v>
          </cell>
        </row>
        <row r="88">
          <cell r="E88">
            <v>54977136</v>
          </cell>
        </row>
        <row r="89">
          <cell r="E89">
            <v>283285</v>
          </cell>
        </row>
        <row r="90">
          <cell r="E90">
            <v>3757710</v>
          </cell>
        </row>
        <row r="91">
          <cell r="E91">
            <v>2279500</v>
          </cell>
        </row>
        <row r="92">
          <cell r="E92">
            <v>400000</v>
          </cell>
        </row>
        <row r="94">
          <cell r="E94">
            <v>5000000</v>
          </cell>
        </row>
        <row r="95">
          <cell r="E95">
            <v>19000000</v>
          </cell>
        </row>
        <row r="96">
          <cell r="E96">
            <v>14000000</v>
          </cell>
        </row>
        <row r="97">
          <cell r="E97">
            <v>2000000</v>
          </cell>
        </row>
        <row r="98">
          <cell r="E98">
            <v>246000000</v>
          </cell>
        </row>
        <row r="99">
          <cell r="E99">
            <v>11000000</v>
          </cell>
        </row>
        <row r="100">
          <cell r="E100">
            <v>0</v>
          </cell>
        </row>
        <row r="101">
          <cell r="E101">
            <v>2000000</v>
          </cell>
        </row>
        <row r="105">
          <cell r="E105">
            <v>51363372</v>
          </cell>
        </row>
        <row r="107">
          <cell r="E107">
            <v>509358680.99767983</v>
          </cell>
        </row>
        <row r="112">
          <cell r="E112">
            <v>31562344</v>
          </cell>
        </row>
        <row r="114">
          <cell r="E114">
            <v>56199000</v>
          </cell>
        </row>
        <row r="117">
          <cell r="E117">
            <v>13110000</v>
          </cell>
        </row>
        <row r="118">
          <cell r="E118">
            <v>12884300</v>
          </cell>
        </row>
        <row r="119">
          <cell r="E119">
            <v>4547400</v>
          </cell>
        </row>
        <row r="120">
          <cell r="E120">
            <v>23494900</v>
          </cell>
        </row>
        <row r="121">
          <cell r="E121">
            <v>10329120</v>
          </cell>
        </row>
        <row r="123">
          <cell r="E123">
            <v>24425115</v>
          </cell>
        </row>
        <row r="124">
          <cell r="E124">
            <v>120679491</v>
          </cell>
        </row>
        <row r="125">
          <cell r="E125">
            <v>42391760</v>
          </cell>
        </row>
        <row r="127">
          <cell r="E127">
            <v>9995600</v>
          </cell>
        </row>
        <row r="128">
          <cell r="E128">
            <v>14883840</v>
          </cell>
        </row>
        <row r="130">
          <cell r="E130">
            <v>71928146</v>
          </cell>
        </row>
        <row r="131">
          <cell r="E131">
            <v>72927664.997679815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7">
          <cell r="E37">
            <v>21179070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2019.10.30"/>
      <sheetName val="KESZI 2019.10.30"/>
      <sheetName val="összefoglaló"/>
      <sheetName val="CSGYK bértervezet"/>
      <sheetName val="KESZI bértervezet"/>
      <sheetName val="CSGYK Jub.jutalom és felm. bér"/>
      <sheetName val="KESZI Jub.jutalom és felm. bér"/>
      <sheetName val="Maradvány terhére beruházások"/>
      <sheetName val="Maradvány terhére beruházás (2"/>
      <sheetName val="Engedélyezett létszám"/>
      <sheetName val="Engedélyezett létszám (2)"/>
      <sheetName val="tagdíjak (2)"/>
    </sheetNames>
    <sheetDataSet>
      <sheetData sheetId="0">
        <row r="40">
          <cell r="F40">
            <v>3600000</v>
          </cell>
        </row>
        <row r="45">
          <cell r="F45">
            <v>8638790</v>
          </cell>
        </row>
        <row r="46">
          <cell r="F46">
            <v>65913275.75</v>
          </cell>
        </row>
        <row r="100">
          <cell r="F100">
            <v>1205350</v>
          </cell>
        </row>
        <row r="109">
          <cell r="F109">
            <v>23803514</v>
          </cell>
        </row>
      </sheetData>
      <sheetData sheetId="1">
        <row r="89">
          <cell r="E89">
            <v>48745354</v>
          </cell>
        </row>
      </sheetData>
      <sheetData sheetId="2">
        <row r="88">
          <cell r="E88">
            <v>54977136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8">
          <cell r="D28">
            <v>39691242</v>
          </cell>
        </row>
        <row r="37">
          <cell r="G37">
            <v>1568820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"/>
      <sheetName val="2A"/>
      <sheetName val="2B"/>
      <sheetName val="2C"/>
      <sheetName val="2D"/>
      <sheetName val="3"/>
      <sheetName val="4"/>
      <sheetName val="5"/>
      <sheetName val="6"/>
      <sheetName val="7"/>
      <sheetName val="8"/>
      <sheetName val="9"/>
      <sheetName val="tagdíjak"/>
    </sheetNames>
    <sheetDataSet>
      <sheetData sheetId="0"/>
      <sheetData sheetId="1"/>
      <sheetData sheetId="2">
        <row r="12">
          <cell r="C12">
            <v>537090000</v>
          </cell>
        </row>
        <row r="13">
          <cell r="C13">
            <v>105914760</v>
          </cell>
        </row>
        <row r="14">
          <cell r="C14">
            <v>270979069</v>
          </cell>
        </row>
        <row r="15">
          <cell r="C15">
            <v>600000</v>
          </cell>
        </row>
        <row r="16">
          <cell r="C16">
            <v>6835855</v>
          </cell>
        </row>
        <row r="22">
          <cell r="C22">
            <v>299400000</v>
          </cell>
        </row>
        <row r="30">
          <cell r="C30">
            <v>51363372</v>
          </cell>
        </row>
        <row r="37">
          <cell r="C37">
            <v>31562344</v>
          </cell>
        </row>
        <row r="38">
          <cell r="C38">
            <v>56199000</v>
          </cell>
        </row>
        <row r="39">
          <cell r="C39">
            <v>13110000</v>
          </cell>
        </row>
        <row r="40">
          <cell r="C40">
            <v>40926600</v>
          </cell>
        </row>
        <row r="41">
          <cell r="C41">
            <v>10329120</v>
          </cell>
        </row>
        <row r="42">
          <cell r="C42">
            <v>24425115</v>
          </cell>
        </row>
        <row r="43">
          <cell r="C43">
            <v>120679491</v>
          </cell>
        </row>
        <row r="44">
          <cell r="C44">
            <v>42391760</v>
          </cell>
        </row>
      </sheetData>
      <sheetData sheetId="3">
        <row r="12">
          <cell r="C12">
            <v>230087500</v>
          </cell>
        </row>
        <row r="13">
          <cell r="C13">
            <v>43990000.212499999</v>
          </cell>
        </row>
        <row r="14">
          <cell r="C14">
            <v>40102000</v>
          </cell>
        </row>
        <row r="15">
          <cell r="C15">
            <v>450000</v>
          </cell>
        </row>
        <row r="16">
          <cell r="C16">
            <v>0</v>
          </cell>
        </row>
        <row r="22">
          <cell r="C22">
            <v>2300000</v>
          </cell>
        </row>
        <row r="30">
          <cell r="C30">
            <v>6036652</v>
          </cell>
        </row>
      </sheetData>
      <sheetData sheetId="4">
        <row r="12">
          <cell r="C12">
            <v>980000</v>
          </cell>
        </row>
        <row r="13">
          <cell r="C13">
            <v>275750</v>
          </cell>
        </row>
        <row r="14">
          <cell r="C14">
            <v>4143450</v>
          </cell>
        </row>
        <row r="15">
          <cell r="C15">
            <v>8638790</v>
          </cell>
        </row>
        <row r="17">
          <cell r="C17">
            <v>0</v>
          </cell>
        </row>
        <row r="20">
          <cell r="C20">
            <v>65913275.75</v>
          </cell>
        </row>
        <row r="24">
          <cell r="C24">
            <v>0</v>
          </cell>
        </row>
        <row r="33">
          <cell r="C33">
            <v>47367657</v>
          </cell>
        </row>
      </sheetData>
      <sheetData sheetId="5"/>
      <sheetData sheetId="6">
        <row r="13">
          <cell r="D13">
            <v>71928146</v>
          </cell>
          <cell r="E13">
            <v>61297631</v>
          </cell>
          <cell r="G13">
            <v>24879440</v>
          </cell>
          <cell r="H13">
            <v>72927664.997679815</v>
          </cell>
        </row>
        <row r="14">
          <cell r="C14">
            <v>144035767</v>
          </cell>
          <cell r="D14">
            <v>80418749.212499976</v>
          </cell>
          <cell r="E14">
            <v>50988654</v>
          </cell>
          <cell r="H14">
            <v>30849678</v>
          </cell>
        </row>
        <row r="15">
          <cell r="D15">
            <v>0</v>
          </cell>
          <cell r="F15">
            <v>0</v>
          </cell>
          <cell r="H15">
            <v>32583609</v>
          </cell>
        </row>
      </sheetData>
      <sheetData sheetId="7">
        <row r="19">
          <cell r="G19">
            <v>44527517</v>
          </cell>
        </row>
        <row r="21">
          <cell r="G21">
            <v>47367657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9"/>
  <sheetViews>
    <sheetView workbookViewId="0">
      <selection activeCell="A6" sqref="A6:B6"/>
    </sheetView>
  </sheetViews>
  <sheetFormatPr defaultRowHeight="14.4" x14ac:dyDescent="0.3"/>
  <cols>
    <col min="1" max="1" width="38.3984375" style="1" customWidth="1"/>
    <col min="2" max="2" width="39.5" style="1" customWidth="1"/>
    <col min="3" max="1024" width="8.69921875" style="1" customWidth="1"/>
    <col min="1025" max="1025" width="9" customWidth="1"/>
  </cols>
  <sheetData>
    <row r="1" spans="1:1024" x14ac:dyDescent="0.3">
      <c r="B1" s="2" t="s">
        <v>0</v>
      </c>
    </row>
    <row r="2" spans="1:1024" x14ac:dyDescent="0.3">
      <c r="B2" s="2"/>
    </row>
    <row r="3" spans="1:1024" x14ac:dyDescent="0.3">
      <c r="B3" s="2"/>
    </row>
    <row r="4" spans="1:1024" x14ac:dyDescent="0.3">
      <c r="B4" s="2"/>
    </row>
    <row r="5" spans="1:1024" x14ac:dyDescent="0.3">
      <c r="A5" s="101" t="s">
        <v>1</v>
      </c>
      <c r="B5" s="101"/>
      <c r="C5" s="2"/>
    </row>
    <row r="6" spans="1:1024" x14ac:dyDescent="0.3">
      <c r="A6" s="101" t="s">
        <v>142</v>
      </c>
      <c r="B6" s="101"/>
    </row>
    <row r="7" spans="1:1024" x14ac:dyDescent="0.3">
      <c r="A7" s="2"/>
    </row>
    <row r="8" spans="1:1024" x14ac:dyDescent="0.3">
      <c r="A8" s="2"/>
    </row>
    <row r="11" spans="1:1024" x14ac:dyDescent="0.3">
      <c r="A11" s="101" t="s">
        <v>2</v>
      </c>
      <c r="B11" s="101"/>
    </row>
    <row r="12" spans="1:1024" x14ac:dyDescent="0.3">
      <c r="A12" s="101" t="s">
        <v>144</v>
      </c>
      <c r="B12" s="101"/>
    </row>
    <row r="13" spans="1:1024" s="48" customFormat="1" x14ac:dyDescent="0.3">
      <c r="A13" s="101" t="s">
        <v>143</v>
      </c>
      <c r="B13" s="10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s="83" customFormat="1" x14ac:dyDescent="0.3">
      <c r="A14" s="79"/>
      <c r="B14" s="7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ht="16.2" x14ac:dyDescent="0.35">
      <c r="A15" s="102" t="s">
        <v>3</v>
      </c>
      <c r="B15" s="102"/>
    </row>
    <row r="16" spans="1:1024" ht="15.6" x14ac:dyDescent="0.3">
      <c r="A16" s="103" t="s">
        <v>4</v>
      </c>
      <c r="B16" s="103"/>
    </row>
    <row r="17" spans="1:2" ht="15.6" x14ac:dyDescent="0.3">
      <c r="A17" s="4"/>
      <c r="B17" s="4"/>
    </row>
    <row r="18" spans="1:2" ht="15.6" x14ac:dyDescent="0.3">
      <c r="A18" s="4"/>
      <c r="B18" s="4"/>
    </row>
    <row r="19" spans="1:2" ht="15.6" x14ac:dyDescent="0.3">
      <c r="A19" s="4"/>
    </row>
    <row r="20" spans="1:2" ht="16.2" thickBot="1" x14ac:dyDescent="0.35">
      <c r="A20" s="4"/>
    </row>
    <row r="21" spans="1:2" ht="17.399999999999999" thickTop="1" thickBot="1" x14ac:dyDescent="0.35">
      <c r="A21" s="5" t="s">
        <v>5</v>
      </c>
      <c r="B21" s="6" t="s">
        <v>6</v>
      </c>
    </row>
    <row r="22" spans="1:2" ht="48" customHeight="1" thickTop="1" thickBot="1" x14ac:dyDescent="0.35">
      <c r="A22" s="97" t="s">
        <v>7</v>
      </c>
      <c r="B22" s="99" t="s">
        <v>8</v>
      </c>
    </row>
    <row r="23" spans="1:2" ht="48" customHeight="1" thickTop="1" thickBot="1" x14ac:dyDescent="0.35">
      <c r="A23" s="97" t="s">
        <v>9</v>
      </c>
      <c r="B23" s="100" t="s">
        <v>10</v>
      </c>
    </row>
    <row r="24" spans="1:2" ht="48" customHeight="1" thickTop="1" thickBot="1" x14ac:dyDescent="0.35">
      <c r="A24" s="98" t="s">
        <v>11</v>
      </c>
      <c r="B24" s="100" t="s">
        <v>98</v>
      </c>
    </row>
    <row r="25" spans="1:2" ht="16.2" thickTop="1" x14ac:dyDescent="0.3">
      <c r="A25" s="7"/>
    </row>
    <row r="26" spans="1:2" ht="15.6" x14ac:dyDescent="0.3">
      <c r="A26" s="7"/>
    </row>
    <row r="27" spans="1:2" x14ac:dyDescent="0.3">
      <c r="A27" s="96"/>
      <c r="B27" s="96"/>
    </row>
    <row r="28" spans="1:2" x14ac:dyDescent="0.3">
      <c r="A28" s="96"/>
      <c r="B28" s="96"/>
    </row>
    <row r="29" spans="1:2" x14ac:dyDescent="0.3">
      <c r="A29" s="96"/>
      <c r="B29" s="96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ageMargins left="1.24015748031496" right="0.70000000000000007" top="1.1437007874015752" bottom="1.1437007874015752" header="0.75000000000000011" footer="0.7500000000000001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M45"/>
  <sheetViews>
    <sheetView topLeftCell="A16" workbookViewId="0">
      <selection activeCell="F33" sqref="F33:G33"/>
    </sheetView>
  </sheetViews>
  <sheetFormatPr defaultRowHeight="14.4" x14ac:dyDescent="0.3"/>
  <cols>
    <col min="1" max="1" width="52.69921875" style="1" customWidth="1"/>
    <col min="2" max="2" width="18.8984375" style="1" customWidth="1"/>
    <col min="3" max="7" width="16.59765625" style="1" customWidth="1"/>
    <col min="8" max="8" width="8.69921875" style="1" customWidth="1"/>
    <col min="9" max="9" width="10.5" style="1" customWidth="1"/>
    <col min="10" max="10" width="13" style="1" customWidth="1"/>
    <col min="11" max="1027" width="8.69921875" style="1" customWidth="1"/>
    <col min="1028" max="1028" width="9" customWidth="1"/>
  </cols>
  <sheetData>
    <row r="1" spans="1:1027" x14ac:dyDescent="0.3">
      <c r="B1" s="79"/>
      <c r="C1" s="3"/>
      <c r="D1" s="3"/>
      <c r="E1" s="79"/>
      <c r="F1" s="79"/>
      <c r="G1" s="79"/>
    </row>
    <row r="3" spans="1:1027" x14ac:dyDescent="0.3">
      <c r="A3" s="101" t="s">
        <v>1</v>
      </c>
      <c r="B3" s="101"/>
      <c r="C3" s="3"/>
      <c r="D3" s="3"/>
      <c r="E3" s="79"/>
      <c r="F3" s="79"/>
      <c r="G3" s="79"/>
    </row>
    <row r="4" spans="1:1027" x14ac:dyDescent="0.3">
      <c r="A4" s="101" t="s">
        <v>145</v>
      </c>
      <c r="B4" s="101"/>
      <c r="C4" s="3"/>
      <c r="D4" s="3"/>
      <c r="E4" s="79"/>
      <c r="F4" s="79"/>
      <c r="G4" s="79"/>
    </row>
    <row r="5" spans="1:1027" ht="15.6" x14ac:dyDescent="0.3">
      <c r="A5" s="105" t="s">
        <v>12</v>
      </c>
      <c r="B5" s="105"/>
      <c r="C5" s="8"/>
      <c r="D5" s="8"/>
      <c r="E5" s="80"/>
      <c r="F5" s="80"/>
      <c r="G5" s="80"/>
    </row>
    <row r="6" spans="1:1027" ht="15.6" x14ac:dyDescent="0.3">
      <c r="A6" s="105" t="s">
        <v>55</v>
      </c>
      <c r="B6" s="105"/>
      <c r="C6" s="8"/>
      <c r="D6" s="8"/>
      <c r="E6" s="80"/>
      <c r="F6" s="80"/>
      <c r="G6" s="80"/>
    </row>
    <row r="7" spans="1:1027" ht="15.6" x14ac:dyDescent="0.3">
      <c r="A7" s="8"/>
      <c r="B7" s="8"/>
      <c r="C7" s="8"/>
      <c r="D7" s="8"/>
      <c r="E7" s="80"/>
      <c r="F7" s="80"/>
      <c r="G7" s="80"/>
    </row>
    <row r="8" spans="1:1027" ht="15.75" customHeight="1" x14ac:dyDescent="0.3">
      <c r="A8" s="104" t="s">
        <v>13</v>
      </c>
      <c r="B8" s="104"/>
      <c r="C8" s="9" t="s">
        <v>14</v>
      </c>
      <c r="D8" s="9" t="s">
        <v>15</v>
      </c>
      <c r="E8" s="9"/>
      <c r="F8" s="9" t="s">
        <v>14</v>
      </c>
      <c r="G8" s="9" t="s">
        <v>15</v>
      </c>
    </row>
    <row r="9" spans="1:1027" ht="15.6" x14ac:dyDescent="0.3">
      <c r="A9" s="10" t="s">
        <v>6</v>
      </c>
      <c r="B9" s="10" t="s">
        <v>16</v>
      </c>
      <c r="C9" s="10" t="s">
        <v>16</v>
      </c>
      <c r="D9" s="10" t="s">
        <v>16</v>
      </c>
      <c r="E9" s="10" t="s">
        <v>123</v>
      </c>
      <c r="F9" s="10" t="s">
        <v>123</v>
      </c>
      <c r="G9" s="10" t="s">
        <v>123</v>
      </c>
      <c r="H9" s="11" t="s">
        <v>17</v>
      </c>
    </row>
    <row r="10" spans="1:1027" ht="31.2" x14ac:dyDescent="0.3">
      <c r="A10" s="12"/>
      <c r="B10" s="13" t="s">
        <v>118</v>
      </c>
      <c r="C10" s="13" t="s">
        <v>118</v>
      </c>
      <c r="D10" s="13" t="s">
        <v>118</v>
      </c>
      <c r="E10" s="13" t="s">
        <v>140</v>
      </c>
      <c r="F10" s="13" t="s">
        <v>140</v>
      </c>
      <c r="G10" s="13" t="s">
        <v>140</v>
      </c>
      <c r="H10" s="14"/>
    </row>
    <row r="11" spans="1:1027" ht="15.6" x14ac:dyDescent="0.3">
      <c r="A11" s="15" t="s">
        <v>18</v>
      </c>
      <c r="B11" s="16">
        <f>'2B'!B12+'2C'!B12+'2D'!B12</f>
        <v>768157500</v>
      </c>
      <c r="C11" s="16">
        <f t="shared" ref="C11:C19" si="0">SUM(B11-D11)</f>
        <v>767177500</v>
      </c>
      <c r="D11" s="16">
        <f>'2D'!B12</f>
        <v>980000</v>
      </c>
      <c r="E11" s="16">
        <f>'2B'!C12+'2C'!C12+'2D'!C12</f>
        <v>774206958</v>
      </c>
      <c r="F11" s="16">
        <f>E11-G11</f>
        <v>773226958</v>
      </c>
      <c r="G11" s="16">
        <v>980000</v>
      </c>
      <c r="H11" s="17" t="s">
        <v>19</v>
      </c>
      <c r="I11" s="64"/>
    </row>
    <row r="12" spans="1:1027" ht="15.6" x14ac:dyDescent="0.3">
      <c r="A12" s="15" t="s">
        <v>20</v>
      </c>
      <c r="B12" s="16">
        <f>'2B'!B13+'2C'!B13+'2D'!B13</f>
        <v>150180510.21250001</v>
      </c>
      <c r="C12" s="16">
        <f t="shared" si="0"/>
        <v>149904760.21250001</v>
      </c>
      <c r="D12" s="16">
        <f>'2D'!B13</f>
        <v>275750</v>
      </c>
      <c r="E12" s="16">
        <f>'2B'!C13+'2C'!C13+'2D'!C13</f>
        <v>151474334</v>
      </c>
      <c r="F12" s="16">
        <f t="shared" ref="F12:F16" si="1">E12-G12</f>
        <v>151198584</v>
      </c>
      <c r="G12" s="16">
        <v>275750</v>
      </c>
      <c r="H12" s="17" t="s">
        <v>21</v>
      </c>
      <c r="I12" s="64"/>
    </row>
    <row r="13" spans="1:1027" ht="15.6" x14ac:dyDescent="0.3">
      <c r="A13" s="15" t="s">
        <v>22</v>
      </c>
      <c r="B13" s="16">
        <f>'2B'!B14+'2C'!B14+'2D'!B14</f>
        <v>315224519</v>
      </c>
      <c r="C13" s="16">
        <f t="shared" si="0"/>
        <v>311081069</v>
      </c>
      <c r="D13" s="16">
        <f>'2D'!B14</f>
        <v>4143450</v>
      </c>
      <c r="E13" s="16">
        <f>'2B'!C14+'2C'!C14+'2D'!C14</f>
        <v>315707523</v>
      </c>
      <c r="F13" s="16">
        <f t="shared" si="1"/>
        <v>311134073</v>
      </c>
      <c r="G13" s="16">
        <v>4573450</v>
      </c>
      <c r="H13" s="17" t="s">
        <v>23</v>
      </c>
      <c r="I13" s="64"/>
    </row>
    <row r="14" spans="1:1027" s="83" customFormat="1" ht="15.6" x14ac:dyDescent="0.3">
      <c r="A14" s="15" t="s">
        <v>137</v>
      </c>
      <c r="B14" s="16">
        <f>'2B'!B15+'2C'!B15</f>
        <v>1050000</v>
      </c>
      <c r="C14" s="16">
        <v>1050000</v>
      </c>
      <c r="D14" s="16">
        <v>0</v>
      </c>
      <c r="E14" s="16">
        <f>'2B'!C15+'2C'!C15</f>
        <v>1050000</v>
      </c>
      <c r="F14" s="16">
        <f t="shared" si="1"/>
        <v>1050000</v>
      </c>
      <c r="G14" s="16">
        <v>0</v>
      </c>
      <c r="H14" s="17" t="s">
        <v>25</v>
      </c>
      <c r="I14" s="6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</row>
    <row r="15" spans="1:1027" ht="15.6" x14ac:dyDescent="0.3">
      <c r="A15" s="15" t="s">
        <v>24</v>
      </c>
      <c r="B15" s="16">
        <f>'2B'!B16+'2D'!B15</f>
        <v>8638790</v>
      </c>
      <c r="C15" s="16">
        <v>0</v>
      </c>
      <c r="D15" s="16">
        <f>'2D'!B15</f>
        <v>8638790</v>
      </c>
      <c r="E15" s="16">
        <f>'2D'!C15+'2B'!C16</f>
        <v>9941628</v>
      </c>
      <c r="F15" s="16">
        <f t="shared" si="1"/>
        <v>1302838</v>
      </c>
      <c r="G15" s="16">
        <v>8638790</v>
      </c>
      <c r="H15" s="17" t="s">
        <v>141</v>
      </c>
      <c r="I15" s="64"/>
    </row>
    <row r="16" spans="1:1027" ht="28.8" x14ac:dyDescent="0.3">
      <c r="A16" s="15" t="s">
        <v>26</v>
      </c>
      <c r="B16" s="16">
        <f>'2B'!B17+'2C'!B16+'2D'!B17</f>
        <v>6835855</v>
      </c>
      <c r="C16" s="16">
        <f t="shared" si="0"/>
        <v>6835855</v>
      </c>
      <c r="D16" s="16">
        <f>'2D'!B17</f>
        <v>0</v>
      </c>
      <c r="E16" s="16">
        <f>'2B'!C17+'2C'!C16+'2D'!C17</f>
        <v>7143856</v>
      </c>
      <c r="F16" s="16">
        <f t="shared" si="1"/>
        <v>7143855</v>
      </c>
      <c r="G16" s="16">
        <v>1</v>
      </c>
      <c r="H16" s="18" t="s">
        <v>27</v>
      </c>
      <c r="I16" s="64"/>
    </row>
    <row r="17" spans="1:9" ht="15.6" x14ac:dyDescent="0.3">
      <c r="A17" s="15" t="s">
        <v>28</v>
      </c>
      <c r="B17" s="19">
        <v>0</v>
      </c>
      <c r="C17" s="16">
        <f t="shared" si="0"/>
        <v>0</v>
      </c>
      <c r="D17" s="16">
        <v>0</v>
      </c>
      <c r="E17" s="19">
        <v>0</v>
      </c>
      <c r="F17" s="16">
        <v>0</v>
      </c>
      <c r="G17" s="16">
        <v>0</v>
      </c>
      <c r="H17" s="17" t="s">
        <v>29</v>
      </c>
      <c r="I17" s="64"/>
    </row>
    <row r="18" spans="1:9" ht="15.6" x14ac:dyDescent="0.3">
      <c r="A18" s="91" t="s">
        <v>30</v>
      </c>
      <c r="B18" s="92">
        <f>SUM(B11:B17)</f>
        <v>1250087174.2125001</v>
      </c>
      <c r="C18" s="95">
        <f t="shared" si="0"/>
        <v>1236049184.2125001</v>
      </c>
      <c r="D18" s="92">
        <f>SUM(D11:D17)</f>
        <v>14037990</v>
      </c>
      <c r="E18" s="22">
        <f>SUM(E11:E17)</f>
        <v>1259524299</v>
      </c>
      <c r="F18" s="22">
        <f t="shared" ref="F18:G18" si="2">SUM(F11:F17)</f>
        <v>1245056308</v>
      </c>
      <c r="G18" s="22">
        <f t="shared" si="2"/>
        <v>14467991</v>
      </c>
      <c r="I18" s="64"/>
    </row>
    <row r="19" spans="1:9" ht="15.6" x14ac:dyDescent="0.3">
      <c r="A19" s="15" t="s">
        <v>31</v>
      </c>
      <c r="B19" s="24">
        <f>'2D'!B20</f>
        <v>65913275.75</v>
      </c>
      <c r="C19" s="23">
        <f t="shared" si="0"/>
        <v>21942821.75</v>
      </c>
      <c r="D19" s="24">
        <f>[1]Társulás!$F$47+[1]Társulás!$F$48+[1]Társulás!$F$57</f>
        <v>43970454</v>
      </c>
      <c r="E19" s="24">
        <f>'2D'!C20</f>
        <v>56686562</v>
      </c>
      <c r="F19" s="16">
        <f>21942822-1899012+210411-1</f>
        <v>20254220</v>
      </c>
      <c r="G19" s="24">
        <f>43970454-7108112-430000</f>
        <v>36432342</v>
      </c>
      <c r="H19" s="17" t="s">
        <v>32</v>
      </c>
      <c r="I19" s="64"/>
    </row>
    <row r="20" spans="1:9" ht="15.6" x14ac:dyDescent="0.3">
      <c r="A20" s="15" t="s">
        <v>33</v>
      </c>
      <c r="B20" s="19" t="s">
        <v>34</v>
      </c>
      <c r="C20" s="25"/>
      <c r="D20" s="16"/>
      <c r="E20" s="19" t="s">
        <v>34</v>
      </c>
      <c r="F20" s="25"/>
      <c r="G20" s="16"/>
      <c r="H20" s="17"/>
      <c r="I20" s="64"/>
    </row>
    <row r="21" spans="1:9" ht="15.6" x14ac:dyDescent="0.3">
      <c r="A21" s="26" t="s">
        <v>35</v>
      </c>
      <c r="B21" s="23">
        <f>B18+B19</f>
        <v>1316000449.9625001</v>
      </c>
      <c r="C21" s="23">
        <f>SUM(B21-D21)</f>
        <v>1257992005.9625001</v>
      </c>
      <c r="D21" s="23">
        <f>SUM(D18+D19)</f>
        <v>58008444</v>
      </c>
      <c r="E21" s="23">
        <f>E19+E18</f>
        <v>1316210861</v>
      </c>
      <c r="F21" s="23">
        <f t="shared" ref="F21:G21" si="3">F19+F18</f>
        <v>1265310528</v>
      </c>
      <c r="G21" s="23">
        <f t="shared" si="3"/>
        <v>50900333</v>
      </c>
      <c r="H21" s="17"/>
      <c r="I21" s="64"/>
    </row>
    <row r="22" spans="1:9" ht="15.6" x14ac:dyDescent="0.3">
      <c r="A22" s="27"/>
      <c r="B22" s="25"/>
      <c r="C22" s="25"/>
      <c r="D22" s="25"/>
      <c r="E22" s="25"/>
      <c r="F22" s="25"/>
      <c r="G22" s="25"/>
    </row>
    <row r="23" spans="1:9" ht="15.6" x14ac:dyDescent="0.3">
      <c r="A23" s="15" t="s">
        <v>36</v>
      </c>
      <c r="B23" s="16">
        <f>'2B'!C23+'2C'!C22+'2D'!B24</f>
        <v>301700000</v>
      </c>
      <c r="C23" s="16">
        <f t="shared" ref="C23:C30" si="4">B23-D23</f>
        <v>301700000</v>
      </c>
      <c r="D23" s="16">
        <f>'2D'!B24</f>
        <v>0</v>
      </c>
      <c r="E23" s="16">
        <f>'2B'!C23+'2C'!C22+'2D'!C24</f>
        <v>301910411</v>
      </c>
      <c r="F23" s="16">
        <f>E23-G23</f>
        <v>301700000</v>
      </c>
      <c r="G23" s="16">
        <v>210411</v>
      </c>
      <c r="H23" s="17" t="s">
        <v>37</v>
      </c>
    </row>
    <row r="24" spans="1:9" ht="15.6" x14ac:dyDescent="0.3">
      <c r="A24" s="15" t="s">
        <v>38</v>
      </c>
      <c r="B24" s="16">
        <v>0</v>
      </c>
      <c r="C24" s="16">
        <f t="shared" si="4"/>
        <v>0</v>
      </c>
      <c r="D24" s="16">
        <v>0</v>
      </c>
      <c r="E24" s="16">
        <v>0</v>
      </c>
      <c r="F24" s="16">
        <f t="shared" ref="F24:F28" si="5">E24-G24</f>
        <v>0</v>
      </c>
      <c r="G24" s="16">
        <v>0</v>
      </c>
      <c r="H24" s="17"/>
    </row>
    <row r="25" spans="1:9" ht="43.2" x14ac:dyDescent="0.3">
      <c r="A25" s="15" t="s">
        <v>39</v>
      </c>
      <c r="B25" s="16">
        <f>'2B'!C24+'2C'!C23+'2D'!B26</f>
        <v>0</v>
      </c>
      <c r="C25" s="16">
        <f t="shared" si="4"/>
        <v>0</v>
      </c>
      <c r="D25" s="16">
        <f>'2D'!B26</f>
        <v>0</v>
      </c>
      <c r="E25" s="16">
        <v>0</v>
      </c>
      <c r="F25" s="16">
        <f t="shared" si="5"/>
        <v>0</v>
      </c>
      <c r="G25" s="16">
        <v>0</v>
      </c>
      <c r="H25" s="18" t="s">
        <v>40</v>
      </c>
    </row>
    <row r="26" spans="1:9" ht="15.6" x14ac:dyDescent="0.3">
      <c r="A26" s="15" t="s">
        <v>41</v>
      </c>
      <c r="B26" s="16">
        <v>0</v>
      </c>
      <c r="C26" s="16">
        <f t="shared" si="4"/>
        <v>0</v>
      </c>
      <c r="D26" s="16">
        <v>0</v>
      </c>
      <c r="E26" s="16">
        <v>0</v>
      </c>
      <c r="F26" s="16">
        <f t="shared" si="5"/>
        <v>0</v>
      </c>
      <c r="G26" s="16">
        <v>0</v>
      </c>
      <c r="H26" s="17"/>
    </row>
    <row r="27" spans="1:9" ht="15.6" x14ac:dyDescent="0.3">
      <c r="A27" s="15" t="s">
        <v>42</v>
      </c>
      <c r="B27" s="16">
        <f>'2B'!B26+'2C'!B25+'2D'!B28</f>
        <v>909532769.21249998</v>
      </c>
      <c r="C27" s="16">
        <f t="shared" si="4"/>
        <v>876533189.21249998</v>
      </c>
      <c r="D27" s="16">
        <f>'[1]tagdíjak (2)'!$E$37+'[2]tagdíjak (2)'!$G$37+8411690+1840000</f>
        <v>32999580</v>
      </c>
      <c r="E27" s="16">
        <f>'2B'!C26+'2C'!C25+'2D'!C28</f>
        <v>909532769</v>
      </c>
      <c r="F27" s="16">
        <f t="shared" si="5"/>
        <v>876533189</v>
      </c>
      <c r="G27" s="16">
        <v>32999580</v>
      </c>
      <c r="H27" s="17" t="s">
        <v>43</v>
      </c>
    </row>
    <row r="28" spans="1:9" ht="15.6" x14ac:dyDescent="0.3">
      <c r="A28" s="15" t="s">
        <v>44</v>
      </c>
      <c r="B28" s="16">
        <f>'2D'!B29</f>
        <v>483659197</v>
      </c>
      <c r="C28" s="16">
        <f t="shared" si="4"/>
        <v>483659197</v>
      </c>
      <c r="D28" s="16">
        <v>0</v>
      </c>
      <c r="E28" s="16">
        <v>490625197</v>
      </c>
      <c r="F28" s="16">
        <f t="shared" si="5"/>
        <v>490625197</v>
      </c>
      <c r="G28" s="16">
        <v>0</v>
      </c>
      <c r="H28" s="17"/>
    </row>
    <row r="29" spans="1:9" ht="15.6" x14ac:dyDescent="0.3">
      <c r="A29" s="15" t="s">
        <v>45</v>
      </c>
      <c r="B29" s="19">
        <v>0</v>
      </c>
      <c r="C29" s="16">
        <f t="shared" si="4"/>
        <v>0</v>
      </c>
      <c r="D29" s="19">
        <v>0</v>
      </c>
      <c r="E29" s="19">
        <v>0</v>
      </c>
      <c r="F29" s="16">
        <v>0</v>
      </c>
      <c r="G29" s="19">
        <v>0</v>
      </c>
      <c r="H29" s="17" t="s">
        <v>46</v>
      </c>
    </row>
    <row r="30" spans="1:9" ht="15.6" x14ac:dyDescent="0.3">
      <c r="A30" s="20" t="s">
        <v>47</v>
      </c>
      <c r="B30" s="92">
        <f>B27+B23+B25</f>
        <v>1211232769.2125001</v>
      </c>
      <c r="C30" s="93">
        <f t="shared" si="4"/>
        <v>1178233189.2125001</v>
      </c>
      <c r="D30" s="94">
        <f>D27+D23+D25</f>
        <v>32999580</v>
      </c>
      <c r="E30" s="22">
        <f>SUM(E23:E27)</f>
        <v>1211443180</v>
      </c>
      <c r="F30" s="22">
        <f t="shared" ref="F30:G30" si="6">SUM(F23:F27)</f>
        <v>1178233189</v>
      </c>
      <c r="G30" s="22">
        <f t="shared" si="6"/>
        <v>33209991</v>
      </c>
    </row>
    <row r="31" spans="1:9" ht="15.6" x14ac:dyDescent="0.3">
      <c r="A31" s="15" t="s">
        <v>96</v>
      </c>
      <c r="B31" s="19">
        <f>'2B'!B31+'2C'!B30+'2D'!B33</f>
        <v>104767681</v>
      </c>
      <c r="C31" s="16">
        <f>B31-D31</f>
        <v>79758817</v>
      </c>
      <c r="D31" s="90">
        <f>[2]Társulás!$F$100+[2]Társulás!$F$109</f>
        <v>25008864</v>
      </c>
      <c r="E31" s="19">
        <v>104767681</v>
      </c>
      <c r="F31" s="16">
        <v>87077339</v>
      </c>
      <c r="G31" s="90">
        <f>E31-F31</f>
        <v>17690342</v>
      </c>
      <c r="H31" s="49"/>
    </row>
    <row r="32" spans="1:9" ht="15.6" x14ac:dyDescent="0.3">
      <c r="A32" s="15" t="s">
        <v>48</v>
      </c>
      <c r="B32" s="16" t="s">
        <v>34</v>
      </c>
      <c r="C32" s="25"/>
      <c r="D32" s="25"/>
      <c r="E32" s="16" t="s">
        <v>34</v>
      </c>
      <c r="F32" s="25"/>
      <c r="G32" s="25"/>
      <c r="H32" s="49"/>
    </row>
    <row r="33" spans="1:1027" ht="15.6" x14ac:dyDescent="0.3">
      <c r="A33" s="28" t="s">
        <v>49</v>
      </c>
      <c r="B33" s="24">
        <f>B30+B31</f>
        <v>1316000450.2125001</v>
      </c>
      <c r="C33" s="23">
        <f>B33-D33</f>
        <v>1257992006.2125001</v>
      </c>
      <c r="D33" s="29">
        <f>D30+D31</f>
        <v>58008444</v>
      </c>
      <c r="E33" s="24">
        <f>E30+E31</f>
        <v>1316210861</v>
      </c>
      <c r="F33" s="24">
        <f t="shared" ref="F33:G33" si="7">F30+F31</f>
        <v>1265310528</v>
      </c>
      <c r="G33" s="24">
        <f t="shared" si="7"/>
        <v>50900333</v>
      </c>
      <c r="I33" s="64"/>
    </row>
    <row r="34" spans="1:1027" ht="15.6" x14ac:dyDescent="0.3">
      <c r="A34" s="30"/>
      <c r="B34" s="31"/>
      <c r="C34" s="31"/>
      <c r="D34" s="31"/>
      <c r="E34" s="31"/>
      <c r="F34" s="31"/>
      <c r="G34" s="31"/>
    </row>
    <row r="36" spans="1:1027" x14ac:dyDescent="0.3">
      <c r="A36" s="1" t="s">
        <v>125</v>
      </c>
    </row>
    <row r="38" spans="1:1027" x14ac:dyDescent="0.3">
      <c r="A38" s="72"/>
      <c r="B38" s="72"/>
      <c r="C38"/>
      <c r="D38"/>
      <c r="E38" s="83"/>
      <c r="F38" s="83"/>
      <c r="G38" s="83"/>
    </row>
    <row r="39" spans="1:1027" s="77" customFormat="1" x14ac:dyDescent="0.3">
      <c r="A39" s="72"/>
      <c r="B39" s="72"/>
      <c r="E39" s="83"/>
      <c r="F39" s="83"/>
      <c r="G39" s="8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</row>
    <row r="40" spans="1:1027" ht="28.8" x14ac:dyDescent="0.3">
      <c r="B40" s="66" t="s">
        <v>87</v>
      </c>
      <c r="D40" s="1" t="s">
        <v>89</v>
      </c>
    </row>
    <row r="41" spans="1:1027" ht="57.6" x14ac:dyDescent="0.3">
      <c r="B41" s="66" t="s">
        <v>110</v>
      </c>
    </row>
    <row r="42" spans="1:1027" x14ac:dyDescent="0.3">
      <c r="B42" s="66" t="s">
        <v>88</v>
      </c>
    </row>
    <row r="43" spans="1:1027" x14ac:dyDescent="0.3">
      <c r="B43" s="66" t="s">
        <v>90</v>
      </c>
    </row>
    <row r="44" spans="1:1027" x14ac:dyDescent="0.3">
      <c r="B44" s="66" t="s">
        <v>91</v>
      </c>
      <c r="D44" s="1" t="s">
        <v>89</v>
      </c>
    </row>
    <row r="45" spans="1:1027" ht="28.8" x14ac:dyDescent="0.3">
      <c r="B45" s="66" t="s">
        <v>117</v>
      </c>
    </row>
  </sheetData>
  <mergeCells count="5">
    <mergeCell ref="A8:B8"/>
    <mergeCell ref="A3:B3"/>
    <mergeCell ref="A4:B4"/>
    <mergeCell ref="A5:B5"/>
    <mergeCell ref="A6:B6"/>
  </mergeCells>
  <pageMargins left="0.70826771653543308" right="0.70826771653543308" top="1.1417322834645671" bottom="1.1417322834645671" header="0.74803149606299213" footer="0.74803149606299213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9"/>
  <sheetViews>
    <sheetView zoomScaleNormal="100" workbookViewId="0">
      <selection activeCell="F1" sqref="F1:F1048576"/>
    </sheetView>
  </sheetViews>
  <sheetFormatPr defaultRowHeight="14.4" x14ac:dyDescent="0.3"/>
  <cols>
    <col min="1" max="1" width="48" style="1" customWidth="1"/>
    <col min="2" max="2" width="14.8984375" style="1" customWidth="1"/>
    <col min="3" max="4" width="16.8984375" style="1" customWidth="1"/>
    <col min="5" max="5" width="8.69921875" style="1" customWidth="1"/>
    <col min="6" max="6" width="15.69921875" style="115" customWidth="1"/>
    <col min="7" max="7" width="8.69921875" style="1" customWidth="1"/>
    <col min="8" max="8" width="8.69921875" style="75" customWidth="1"/>
    <col min="9" max="1025" width="8.69921875" style="1" customWidth="1"/>
    <col min="1026" max="1026" width="9" customWidth="1"/>
  </cols>
  <sheetData>
    <row r="1" spans="1:1025" x14ac:dyDescent="0.3">
      <c r="B1" s="101" t="s">
        <v>50</v>
      </c>
      <c r="C1" s="101"/>
      <c r="D1" s="55"/>
    </row>
    <row r="2" spans="1:1025" x14ac:dyDescent="0.3">
      <c r="B2" s="2"/>
    </row>
    <row r="3" spans="1:1025" x14ac:dyDescent="0.3">
      <c r="A3" s="101" t="s">
        <v>1</v>
      </c>
      <c r="B3" s="101"/>
      <c r="C3" s="101"/>
      <c r="D3" s="55"/>
    </row>
    <row r="4" spans="1:1025" x14ac:dyDescent="0.3">
      <c r="A4" s="101" t="s">
        <v>145</v>
      </c>
      <c r="B4" s="101"/>
      <c r="C4" s="101"/>
      <c r="D4" s="55"/>
    </row>
    <row r="5" spans="1:1025" ht="15.6" x14ac:dyDescent="0.3">
      <c r="A5" s="105" t="s">
        <v>12</v>
      </c>
      <c r="B5" s="105"/>
      <c r="C5" s="105"/>
      <c r="D5" s="57"/>
    </row>
    <row r="6" spans="1:1025" ht="15.6" x14ac:dyDescent="0.3">
      <c r="A6" s="105" t="s">
        <v>99</v>
      </c>
      <c r="B6" s="105"/>
      <c r="C6" s="105"/>
      <c r="D6" s="57"/>
    </row>
    <row r="8" spans="1:1025" ht="15.6" x14ac:dyDescent="0.3">
      <c r="B8" s="8"/>
      <c r="D8" s="57"/>
    </row>
    <row r="9" spans="1:1025" ht="15.6" x14ac:dyDescent="0.3">
      <c r="A9" s="32" t="s">
        <v>52</v>
      </c>
      <c r="B9" s="32"/>
      <c r="C9" s="8" t="s">
        <v>51</v>
      </c>
      <c r="D9" s="33"/>
    </row>
    <row r="10" spans="1:1025" ht="15.6" x14ac:dyDescent="0.3">
      <c r="A10" s="10" t="s">
        <v>6</v>
      </c>
      <c r="B10" s="34" t="s">
        <v>16</v>
      </c>
      <c r="C10" s="34" t="s">
        <v>123</v>
      </c>
      <c r="D10" s="11" t="s">
        <v>17</v>
      </c>
      <c r="G10" s="75"/>
      <c r="H10" s="1"/>
      <c r="AMK10"/>
    </row>
    <row r="11" spans="1:1025" ht="46.8" x14ac:dyDescent="0.3">
      <c r="A11" s="12"/>
      <c r="B11" s="35" t="s">
        <v>136</v>
      </c>
      <c r="C11" s="35" t="s">
        <v>126</v>
      </c>
      <c r="D11" s="89" t="s">
        <v>122</v>
      </c>
      <c r="G11" s="75"/>
      <c r="H11" s="1"/>
      <c r="AMK11"/>
    </row>
    <row r="12" spans="1:1025" ht="15.6" x14ac:dyDescent="0.3">
      <c r="A12" s="15" t="s">
        <v>18</v>
      </c>
      <c r="B12" s="19">
        <f>'[1]KESZI 2019.10.30'!$F$24</f>
        <v>537090000</v>
      </c>
      <c r="C12" s="19">
        <v>540120992</v>
      </c>
      <c r="D12" s="17" t="s">
        <v>19</v>
      </c>
      <c r="F12" s="115">
        <f>C12-B12</f>
        <v>3030992</v>
      </c>
      <c r="G12" s="75"/>
      <c r="H12" s="1"/>
      <c r="AMK12"/>
    </row>
    <row r="13" spans="1:1025" ht="15.6" x14ac:dyDescent="0.3">
      <c r="A13" s="15" t="s">
        <v>20</v>
      </c>
      <c r="B13" s="19">
        <f>'[1]KESZI 2019.10.30'!$F$25</f>
        <v>105914760</v>
      </c>
      <c r="C13" s="19">
        <v>106646982</v>
      </c>
      <c r="D13" s="17" t="s">
        <v>21</v>
      </c>
      <c r="F13" s="115">
        <f t="shared" ref="F13:F33" si="0">C13-B13</f>
        <v>732222</v>
      </c>
      <c r="G13" s="75"/>
      <c r="H13" s="1"/>
      <c r="AMK13"/>
    </row>
    <row r="14" spans="1:1025" ht="15.6" x14ac:dyDescent="0.3">
      <c r="A14" s="15" t="s">
        <v>22</v>
      </c>
      <c r="B14" s="19">
        <f>'[1]KESZI 2019.10.30'!$F$64</f>
        <v>270979069</v>
      </c>
      <c r="C14" s="19">
        <v>271101081</v>
      </c>
      <c r="D14" s="17" t="s">
        <v>23</v>
      </c>
      <c r="F14" s="115">
        <f t="shared" si="0"/>
        <v>122012</v>
      </c>
      <c r="G14" s="75"/>
      <c r="H14" s="1"/>
      <c r="AMK14"/>
    </row>
    <row r="15" spans="1:1025" ht="15.6" x14ac:dyDescent="0.3">
      <c r="A15" s="15" t="s">
        <v>137</v>
      </c>
      <c r="B15" s="19">
        <f>'[1]KESZI 2019.10.30'!$F$65</f>
        <v>600000</v>
      </c>
      <c r="C15" s="19">
        <f>'[1]KESZI 2019.10.30'!$F$65</f>
        <v>600000</v>
      </c>
      <c r="D15" s="17" t="s">
        <v>25</v>
      </c>
      <c r="F15" s="115">
        <f t="shared" si="0"/>
        <v>0</v>
      </c>
      <c r="G15" s="75"/>
      <c r="H15" s="1"/>
      <c r="AMK15"/>
    </row>
    <row r="16" spans="1:1025" s="83" customFormat="1" ht="15.6" x14ac:dyDescent="0.3">
      <c r="A16" s="15" t="s">
        <v>24</v>
      </c>
      <c r="B16" s="19">
        <v>0</v>
      </c>
      <c r="C16" s="19">
        <v>1302838</v>
      </c>
      <c r="D16" s="17" t="s">
        <v>92</v>
      </c>
      <c r="E16" s="1"/>
      <c r="F16" s="115">
        <f t="shared" si="0"/>
        <v>1302838</v>
      </c>
      <c r="G16" s="7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8 1025:1025" ht="150.6" x14ac:dyDescent="0.3">
      <c r="A17" s="65" t="s">
        <v>112</v>
      </c>
      <c r="B17" s="19">
        <f>'[1]KESZI 2019.10.30'!$F$74+'[1]KESZI 2019.10.30'!$F$79</f>
        <v>6835855</v>
      </c>
      <c r="C17" s="19">
        <f>'[1]KESZI 2019.10.30'!$F$74+'[1]KESZI 2019.10.30'!$F$79</f>
        <v>6835855</v>
      </c>
      <c r="D17" s="18" t="s">
        <v>27</v>
      </c>
      <c r="F17" s="115">
        <f t="shared" si="0"/>
        <v>0</v>
      </c>
      <c r="G17" s="75"/>
      <c r="H17" s="1"/>
      <c r="AMK17"/>
    </row>
    <row r="18" spans="1:8 1025:1025" ht="15.6" x14ac:dyDescent="0.3">
      <c r="A18" s="15" t="s">
        <v>28</v>
      </c>
      <c r="B18" s="19">
        <v>0</v>
      </c>
      <c r="C18" s="19">
        <v>0</v>
      </c>
      <c r="D18" s="17" t="s">
        <v>29</v>
      </c>
      <c r="F18" s="115">
        <f t="shared" si="0"/>
        <v>0</v>
      </c>
      <c r="G18" s="75"/>
      <c r="H18" s="1"/>
      <c r="AMK18"/>
    </row>
    <row r="19" spans="1:8 1025:1025" ht="15.6" x14ac:dyDescent="0.3">
      <c r="A19" s="20" t="s">
        <v>30</v>
      </c>
      <c r="B19" s="21">
        <f>SUM(B12:B18)</f>
        <v>921419684</v>
      </c>
      <c r="C19" s="21">
        <f>SUM(C12:C18)</f>
        <v>926607748</v>
      </c>
      <c r="F19" s="115">
        <f t="shared" si="0"/>
        <v>5188064</v>
      </c>
      <c r="G19" s="75"/>
      <c r="H19" s="1"/>
      <c r="AMK19"/>
    </row>
    <row r="20" spans="1:8 1025:1025" ht="15.6" x14ac:dyDescent="0.3">
      <c r="A20" s="15" t="s">
        <v>33</v>
      </c>
      <c r="B20" s="16" t="s">
        <v>34</v>
      </c>
      <c r="C20" s="16" t="s">
        <v>34</v>
      </c>
      <c r="G20" s="75"/>
      <c r="H20" s="1"/>
      <c r="AMK20"/>
    </row>
    <row r="21" spans="1:8 1025:1025" ht="15.6" x14ac:dyDescent="0.3">
      <c r="A21" s="26" t="s">
        <v>35</v>
      </c>
      <c r="B21" s="23">
        <f>SUM(B19)</f>
        <v>921419684</v>
      </c>
      <c r="C21" s="23">
        <f>SUM(C19)</f>
        <v>926607748</v>
      </c>
      <c r="F21" s="115">
        <f t="shared" si="0"/>
        <v>5188064</v>
      </c>
      <c r="G21" s="75"/>
      <c r="H21" s="1"/>
      <c r="AMK21"/>
    </row>
    <row r="22" spans="1:8 1025:1025" ht="15.6" x14ac:dyDescent="0.3">
      <c r="A22" s="27"/>
      <c r="B22" s="25"/>
      <c r="C22" s="25"/>
      <c r="F22" s="115">
        <f t="shared" si="0"/>
        <v>0</v>
      </c>
      <c r="G22" s="75"/>
      <c r="H22" s="1"/>
      <c r="AMK22"/>
    </row>
    <row r="23" spans="1:8 1025:1025" ht="15.6" x14ac:dyDescent="0.3">
      <c r="A23" s="15" t="s">
        <v>36</v>
      </c>
      <c r="B23" s="19">
        <f>'[1]KESZI 2019.10.30'!$E$92+'[1]KESZI 2019.10.30'!$E$94+'[1]KESZI 2019.10.30'!$E$95+'[1]KESZI 2019.10.30'!$E$96+'[1]KESZI 2019.10.30'!$E$97+'[1]KESZI 2019.10.30'!$E$98+'[1]KESZI 2019.10.30'!$E$99+'[1]KESZI 2019.10.30'!$E$100+'[1]KESZI 2019.10.30'!$E$101</f>
        <v>299400000</v>
      </c>
      <c r="C23" s="19">
        <f>'[1]KESZI 2019.10.30'!$E$92+'[1]KESZI 2019.10.30'!$E$94+'[1]KESZI 2019.10.30'!$E$95+'[1]KESZI 2019.10.30'!$E$96+'[1]KESZI 2019.10.30'!$E$97+'[1]KESZI 2019.10.30'!$E$98+'[1]KESZI 2019.10.30'!$E$99+'[1]KESZI 2019.10.30'!$E$100+'[1]KESZI 2019.10.30'!$E$101</f>
        <v>299400000</v>
      </c>
      <c r="D23" s="17" t="s">
        <v>37</v>
      </c>
      <c r="F23" s="115">
        <f t="shared" si="0"/>
        <v>0</v>
      </c>
      <c r="G23" s="75"/>
      <c r="H23" s="1"/>
      <c r="AMK23"/>
    </row>
    <row r="24" spans="1:8 1025:1025" ht="28.8" x14ac:dyDescent="0.3">
      <c r="A24" s="15" t="s">
        <v>39</v>
      </c>
      <c r="B24" s="19">
        <v>0</v>
      </c>
      <c r="C24" s="19">
        <v>0</v>
      </c>
      <c r="D24" s="18" t="s">
        <v>40</v>
      </c>
      <c r="F24" s="115">
        <f t="shared" si="0"/>
        <v>0</v>
      </c>
      <c r="G24" s="75"/>
      <c r="H24" s="1"/>
      <c r="AMK24"/>
    </row>
    <row r="25" spans="1:8 1025:1025" ht="15.6" x14ac:dyDescent="0.3">
      <c r="A25" s="15" t="s">
        <v>41</v>
      </c>
      <c r="B25" s="19">
        <v>0</v>
      </c>
      <c r="C25" s="19">
        <v>0</v>
      </c>
      <c r="D25" s="17"/>
      <c r="F25" s="115">
        <f t="shared" si="0"/>
        <v>0</v>
      </c>
      <c r="G25" s="75"/>
      <c r="H25" s="1"/>
      <c r="AMK25"/>
    </row>
    <row r="26" spans="1:8 1025:1025" ht="15.6" x14ac:dyDescent="0.3">
      <c r="A26" s="15" t="s">
        <v>42</v>
      </c>
      <c r="B26" s="19">
        <f>'[1]KESZI 2019.10.30'!$E$88+'[1]KESZI 2019.10.30'!$E$89+'[1]KESZI 2019.10.30'!$E$90+'[1]KESZI 2019.10.30'!$E$91</f>
        <v>61297631</v>
      </c>
      <c r="C26" s="19">
        <v>24058630</v>
      </c>
      <c r="D26" s="17" t="s">
        <v>53</v>
      </c>
      <c r="F26" s="115">
        <f t="shared" si="0"/>
        <v>-37239001</v>
      </c>
      <c r="G26" s="75"/>
      <c r="H26" s="1"/>
      <c r="AMK26"/>
    </row>
    <row r="27" spans="1:8 1025:1025" ht="15.6" x14ac:dyDescent="0.3">
      <c r="A27" s="15" t="s">
        <v>44</v>
      </c>
      <c r="B27" s="19">
        <f>B26</f>
        <v>61297631</v>
      </c>
      <c r="C27" s="19">
        <f>C26</f>
        <v>24058630</v>
      </c>
      <c r="D27" s="17"/>
      <c r="F27" s="115">
        <f t="shared" si="0"/>
        <v>-37239001</v>
      </c>
      <c r="G27" s="75"/>
      <c r="H27" s="1"/>
      <c r="AMK27"/>
    </row>
    <row r="28" spans="1:8 1025:1025" ht="15.6" x14ac:dyDescent="0.3">
      <c r="A28" s="15" t="s">
        <v>54</v>
      </c>
      <c r="B28" s="19">
        <f>'[1]KESZI 2019.10.30'!$E$107</f>
        <v>509358680.99767983</v>
      </c>
      <c r="C28" s="19">
        <v>551785746</v>
      </c>
      <c r="D28" s="17" t="s">
        <v>43</v>
      </c>
      <c r="F28" s="115">
        <f t="shared" si="0"/>
        <v>42427065.00232017</v>
      </c>
      <c r="G28" s="75"/>
      <c r="H28" s="1"/>
      <c r="AMK28"/>
    </row>
    <row r="29" spans="1:8 1025:1025" ht="15.6" x14ac:dyDescent="0.3">
      <c r="A29" s="15" t="s">
        <v>45</v>
      </c>
      <c r="B29" s="19">
        <v>0</v>
      </c>
      <c r="C29" s="19">
        <v>0</v>
      </c>
      <c r="D29" s="17" t="s">
        <v>46</v>
      </c>
      <c r="F29" s="115">
        <f t="shared" si="0"/>
        <v>0</v>
      </c>
      <c r="G29" s="75"/>
      <c r="H29" s="1"/>
      <c r="AMK29"/>
    </row>
    <row r="30" spans="1:8 1025:1025" ht="15.6" x14ac:dyDescent="0.3">
      <c r="A30" s="20" t="s">
        <v>47</v>
      </c>
      <c r="B30" s="22">
        <f>SUM(B29+B28+B26+B24+B23)</f>
        <v>870056311.99767983</v>
      </c>
      <c r="C30" s="22">
        <f>SUM(C29+C28+C26+C24+C23)</f>
        <v>875244376</v>
      </c>
      <c r="F30" s="115">
        <f t="shared" si="0"/>
        <v>5188064.0023201704</v>
      </c>
      <c r="G30" s="75"/>
      <c r="H30" s="1"/>
      <c r="AMK30"/>
    </row>
    <row r="31" spans="1:8 1025:1025" ht="15.6" x14ac:dyDescent="0.3">
      <c r="A31" s="15" t="s">
        <v>96</v>
      </c>
      <c r="B31" s="19">
        <f>'[1]KESZI 2019.10.30'!$E$105</f>
        <v>51363372</v>
      </c>
      <c r="C31" s="19">
        <f>'[1]KESZI 2019.10.30'!$E$105</f>
        <v>51363372</v>
      </c>
      <c r="F31" s="115">
        <f t="shared" si="0"/>
        <v>0</v>
      </c>
      <c r="G31" s="75"/>
      <c r="H31" s="1"/>
      <c r="AMK31"/>
    </row>
    <row r="32" spans="1:8 1025:1025" ht="15.6" x14ac:dyDescent="0.3">
      <c r="A32" s="15" t="s">
        <v>48</v>
      </c>
      <c r="B32" s="19" t="s">
        <v>34</v>
      </c>
      <c r="C32" s="19" t="s">
        <v>34</v>
      </c>
      <c r="G32" s="75"/>
      <c r="H32" s="1"/>
      <c r="AMK32"/>
    </row>
    <row r="33" spans="1:1025" ht="15.6" x14ac:dyDescent="0.3">
      <c r="A33" s="28" t="s">
        <v>49</v>
      </c>
      <c r="B33" s="24">
        <f>B30+B31</f>
        <v>921419683.99767983</v>
      </c>
      <c r="C33" s="24">
        <f>C30+C31</f>
        <v>926607748</v>
      </c>
      <c r="F33" s="115">
        <f t="shared" si="0"/>
        <v>5188064.0023201704</v>
      </c>
      <c r="G33" s="75"/>
      <c r="H33" s="1"/>
      <c r="AMK33"/>
    </row>
    <row r="36" spans="1:1025" ht="28.2" x14ac:dyDescent="0.3">
      <c r="A36" s="52" t="s">
        <v>138</v>
      </c>
      <c r="B36" s="2" t="s">
        <v>55</v>
      </c>
    </row>
    <row r="37" spans="1:1025" ht="28.8" x14ac:dyDescent="0.3">
      <c r="B37" s="88" t="s">
        <v>134</v>
      </c>
      <c r="C37" s="87" t="s">
        <v>135</v>
      </c>
      <c r="D37" s="87" t="s">
        <v>128</v>
      </c>
    </row>
    <row r="38" spans="1:1025" x14ac:dyDescent="0.3">
      <c r="A38" s="36" t="s">
        <v>56</v>
      </c>
      <c r="B38" s="68">
        <f>'[1]KESZI 2019.10.30'!$E$112</f>
        <v>31562344</v>
      </c>
      <c r="C38" s="68">
        <f>'[1]KESZI 2019.10.30'!$E$112</f>
        <v>31562344</v>
      </c>
      <c r="D38" s="68">
        <f>C38-B38</f>
        <v>0</v>
      </c>
      <c r="H38" s="76">
        <f>C38/B38</f>
        <v>1</v>
      </c>
    </row>
    <row r="39" spans="1:1025" x14ac:dyDescent="0.3">
      <c r="A39" s="36" t="s">
        <v>57</v>
      </c>
      <c r="B39" s="68">
        <f>'[1]KESZI 2019.10.30'!$E$114</f>
        <v>56199000</v>
      </c>
      <c r="C39" s="68">
        <f>'[1]KESZI 2019.10.30'!$E$114</f>
        <v>56199000</v>
      </c>
      <c r="D39" s="68">
        <f t="shared" ref="D39:D53" si="1">C39-B39</f>
        <v>0</v>
      </c>
      <c r="H39" s="76">
        <f t="shared" ref="H39:H54" si="2">C39/B39</f>
        <v>1</v>
      </c>
    </row>
    <row r="40" spans="1:1025" x14ac:dyDescent="0.3">
      <c r="A40" s="36" t="s">
        <v>58</v>
      </c>
      <c r="B40" s="68">
        <f>'[1]KESZI 2019.10.30'!$E$117</f>
        <v>13110000</v>
      </c>
      <c r="C40" s="68">
        <f>'[1]KESZI 2019.10.30'!$E$117</f>
        <v>13110000</v>
      </c>
      <c r="D40" s="68">
        <f t="shared" si="1"/>
        <v>0</v>
      </c>
      <c r="H40" s="76">
        <f t="shared" si="2"/>
        <v>1</v>
      </c>
    </row>
    <row r="41" spans="1:1025" x14ac:dyDescent="0.3">
      <c r="A41" s="37" t="s">
        <v>60</v>
      </c>
      <c r="B41" s="68">
        <f>'[1]KESZI 2019.10.30'!$E$118+'[1]KESZI 2019.10.30'!$E$119+'[1]KESZI 2019.10.30'!$E$120</f>
        <v>40926600</v>
      </c>
      <c r="C41" s="68">
        <f>'[1]KESZI 2019.10.30'!$E$118+'[1]KESZI 2019.10.30'!$E$119+'[1]KESZI 2019.10.30'!$E$120</f>
        <v>40926600</v>
      </c>
      <c r="D41" s="68">
        <f t="shared" si="1"/>
        <v>0</v>
      </c>
      <c r="H41" s="76">
        <f t="shared" si="2"/>
        <v>1</v>
      </c>
    </row>
    <row r="42" spans="1:1025" x14ac:dyDescent="0.3">
      <c r="A42" s="36" t="s">
        <v>61</v>
      </c>
      <c r="B42" s="68">
        <f>'[1]KESZI 2019.10.30'!$E$121</f>
        <v>10329120</v>
      </c>
      <c r="C42" s="68">
        <f>'[1]KESZI 2019.10.30'!$E$121</f>
        <v>10329120</v>
      </c>
      <c r="D42" s="68">
        <f t="shared" si="1"/>
        <v>0</v>
      </c>
      <c r="H42" s="76">
        <f t="shared" si="2"/>
        <v>1</v>
      </c>
    </row>
    <row r="43" spans="1:1025" x14ac:dyDescent="0.3">
      <c r="A43" s="36" t="s">
        <v>62</v>
      </c>
      <c r="B43" s="68">
        <f>'[1]KESZI 2019.10.30'!$E$123</f>
        <v>24425115</v>
      </c>
      <c r="C43" s="68">
        <f>'[1]KESZI 2019.10.30'!$E$123</f>
        <v>24425115</v>
      </c>
      <c r="D43" s="68">
        <f t="shared" si="1"/>
        <v>0</v>
      </c>
      <c r="H43" s="76">
        <f t="shared" si="2"/>
        <v>1</v>
      </c>
    </row>
    <row r="44" spans="1:1025" x14ac:dyDescent="0.3">
      <c r="A44" s="36" t="s">
        <v>63</v>
      </c>
      <c r="B44" s="68">
        <f>'[1]KESZI 2019.10.30'!$E$124</f>
        <v>120679491</v>
      </c>
      <c r="C44" s="68">
        <f>'[1]KESZI 2019.10.30'!$E$124</f>
        <v>120679491</v>
      </c>
      <c r="D44" s="68">
        <f t="shared" si="1"/>
        <v>0</v>
      </c>
      <c r="H44" s="76">
        <f t="shared" si="2"/>
        <v>1</v>
      </c>
    </row>
    <row r="45" spans="1:1025" x14ac:dyDescent="0.3">
      <c r="A45" s="37" t="s">
        <v>64</v>
      </c>
      <c r="B45" s="68">
        <f>'[1]KESZI 2019.10.30'!$E$125</f>
        <v>42391760</v>
      </c>
      <c r="C45" s="68">
        <f>'[1]KESZI 2019.10.30'!$E$125</f>
        <v>42391760</v>
      </c>
      <c r="D45" s="68">
        <f t="shared" si="1"/>
        <v>0</v>
      </c>
      <c r="H45" s="76">
        <f t="shared" si="2"/>
        <v>1</v>
      </c>
    </row>
    <row r="46" spans="1:1025" ht="28.8" x14ac:dyDescent="0.3">
      <c r="A46" s="18" t="s">
        <v>111</v>
      </c>
      <c r="B46" s="69">
        <f>'[1]KESZI 2019.10.30'!$E$130</f>
        <v>71928146</v>
      </c>
      <c r="C46" s="69">
        <f>'[1]KESZI 2019.10.30'!$E$130</f>
        <v>71928146</v>
      </c>
      <c r="D46" s="68">
        <f t="shared" si="1"/>
        <v>0</v>
      </c>
      <c r="H46" s="76">
        <f t="shared" si="2"/>
        <v>1</v>
      </c>
    </row>
    <row r="47" spans="1:1025" x14ac:dyDescent="0.3">
      <c r="A47" s="51" t="s">
        <v>107</v>
      </c>
      <c r="B47" s="70">
        <f>'[1]KESZI 2019.10.30'!$E$127+'[1]KESZI 2019.10.30'!$E$128</f>
        <v>24879440</v>
      </c>
      <c r="C47" s="70">
        <f>'[1]KESZI 2019.10.30'!$E$127+'[1]KESZI 2019.10.30'!$E$128</f>
        <v>24879440</v>
      </c>
      <c r="D47" s="68">
        <f t="shared" si="1"/>
        <v>0</v>
      </c>
      <c r="H47" s="76">
        <f t="shared" si="2"/>
        <v>1</v>
      </c>
    </row>
    <row r="48" spans="1:1025" s="60" customFormat="1" x14ac:dyDescent="0.3">
      <c r="A48" s="49" t="s">
        <v>108</v>
      </c>
      <c r="B48" s="69">
        <f>'[1]KESZI 2019.10.30'!$E$131</f>
        <v>72927664.997679815</v>
      </c>
      <c r="C48" s="69">
        <f>'[1]KESZI 2019.10.30'!$E$131</f>
        <v>72927664.997679815</v>
      </c>
      <c r="D48" s="68">
        <f t="shared" si="1"/>
        <v>0</v>
      </c>
      <c r="E48" s="1"/>
      <c r="F48" s="115"/>
      <c r="G48" s="1"/>
      <c r="H48" s="76">
        <f t="shared" si="2"/>
        <v>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</row>
    <row r="49" spans="1:1025" s="83" customFormat="1" x14ac:dyDescent="0.3">
      <c r="A49" s="49" t="s">
        <v>129</v>
      </c>
      <c r="B49" s="69">
        <v>0</v>
      </c>
      <c r="C49" s="69">
        <v>818628</v>
      </c>
      <c r="D49" s="68">
        <f t="shared" si="1"/>
        <v>818628</v>
      </c>
      <c r="E49" s="1"/>
      <c r="F49" s="115"/>
      <c r="G49" s="1"/>
      <c r="H49" s="7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</row>
    <row r="50" spans="1:1025" s="83" customFormat="1" x14ac:dyDescent="0.3">
      <c r="A50" s="49" t="s">
        <v>139</v>
      </c>
      <c r="B50" s="69">
        <v>0</v>
      </c>
      <c r="C50" s="69">
        <v>174644</v>
      </c>
      <c r="D50" s="68">
        <f>C50-B50</f>
        <v>174644</v>
      </c>
      <c r="E50" s="1"/>
      <c r="F50" s="115"/>
      <c r="G50" s="1"/>
      <c r="H50" s="7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</row>
    <row r="51" spans="1:1025" s="83" customFormat="1" x14ac:dyDescent="0.3">
      <c r="A51" s="49" t="s">
        <v>132</v>
      </c>
      <c r="B51" s="69">
        <v>0</v>
      </c>
      <c r="C51" s="69">
        <v>36245729</v>
      </c>
      <c r="D51" s="68">
        <f>C51-B51</f>
        <v>36245729</v>
      </c>
      <c r="E51" s="1"/>
      <c r="F51" s="115"/>
      <c r="G51" s="1"/>
      <c r="H51" s="7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</row>
    <row r="52" spans="1:1025" s="83" customFormat="1" x14ac:dyDescent="0.3">
      <c r="A52" s="49" t="s">
        <v>130</v>
      </c>
      <c r="B52" s="69">
        <v>0</v>
      </c>
      <c r="C52" s="69">
        <v>3561414</v>
      </c>
      <c r="D52" s="68">
        <f t="shared" si="1"/>
        <v>3561414</v>
      </c>
      <c r="E52" s="1"/>
      <c r="F52" s="115"/>
      <c r="G52" s="1"/>
      <c r="H52" s="7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</row>
    <row r="53" spans="1:1025" s="83" customFormat="1" x14ac:dyDescent="0.3">
      <c r="A53" s="49" t="s">
        <v>131</v>
      </c>
      <c r="B53" s="69">
        <v>0</v>
      </c>
      <c r="C53" s="69">
        <v>1626650</v>
      </c>
      <c r="D53" s="68">
        <f t="shared" si="1"/>
        <v>1626650</v>
      </c>
      <c r="E53" s="1"/>
      <c r="F53" s="115"/>
      <c r="G53" s="1"/>
      <c r="H53" s="7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</row>
    <row r="54" spans="1:1025" x14ac:dyDescent="0.3">
      <c r="A54" s="49"/>
      <c r="B54" s="85">
        <f>SUM(B38:B48)</f>
        <v>509358680.99767983</v>
      </c>
      <c r="C54" s="85">
        <f>SUM(C38:C53)</f>
        <v>551785745.99767983</v>
      </c>
      <c r="D54" s="85">
        <f>SUM(D38:D53)</f>
        <v>42427065</v>
      </c>
      <c r="H54" s="76">
        <f t="shared" si="2"/>
        <v>1.0832950660954639</v>
      </c>
    </row>
    <row r="55" spans="1:1025" s="67" customFormat="1" x14ac:dyDescent="0.3">
      <c r="A55" s="1"/>
      <c r="B55" s="38"/>
      <c r="C55" s="38"/>
      <c r="D55" s="38"/>
      <c r="E55" s="1"/>
      <c r="F55" s="115"/>
      <c r="G55" s="1"/>
      <c r="H55" s="7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</row>
    <row r="56" spans="1:1025" x14ac:dyDescent="0.3">
      <c r="A56" s="1" t="s">
        <v>121</v>
      </c>
    </row>
    <row r="57" spans="1:1025" s="67" customFormat="1" x14ac:dyDescent="0.3">
      <c r="A57" s="1"/>
      <c r="B57" s="1"/>
      <c r="C57" s="1"/>
      <c r="D57" s="1"/>
      <c r="E57" s="1"/>
      <c r="F57" s="115"/>
      <c r="G57" s="1"/>
      <c r="H57" s="7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</row>
    <row r="58" spans="1:1025" s="71" customFormat="1" x14ac:dyDescent="0.3">
      <c r="A58" s="1"/>
      <c r="B58" s="1"/>
      <c r="C58" s="1"/>
      <c r="D58" s="1"/>
      <c r="E58" s="1"/>
      <c r="F58" s="115"/>
      <c r="G58" s="1"/>
      <c r="H58" s="76" t="e">
        <f t="shared" ref="H58" si="3">C58/B58</f>
        <v>#DIV/0!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</row>
    <row r="59" spans="1:1025" x14ac:dyDescent="0.3">
      <c r="A59" s="1" t="s">
        <v>125</v>
      </c>
    </row>
  </sheetData>
  <mergeCells count="5"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9" scale="76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1"/>
  <sheetViews>
    <sheetView workbookViewId="0">
      <selection activeCell="F46" sqref="F46"/>
    </sheetView>
  </sheetViews>
  <sheetFormatPr defaultRowHeight="14.4" x14ac:dyDescent="0.3"/>
  <cols>
    <col min="1" max="1" width="53.59765625" style="1" customWidth="1"/>
    <col min="2" max="2" width="13.8984375" style="1" customWidth="1"/>
    <col min="3" max="4" width="15" style="1" customWidth="1"/>
    <col min="5" max="5" width="8.69921875" style="1" customWidth="1"/>
    <col min="6" max="6" width="11.09765625" style="63" bestFit="1" customWidth="1"/>
    <col min="7" max="1025" width="8.69921875" style="1" customWidth="1"/>
    <col min="1026" max="1026" width="9" customWidth="1"/>
  </cols>
  <sheetData>
    <row r="1" spans="1:6 1025:1025" x14ac:dyDescent="0.3">
      <c r="B1" s="101" t="s">
        <v>65</v>
      </c>
      <c r="C1" s="101"/>
      <c r="D1" s="58"/>
    </row>
    <row r="2" spans="1:6 1025:1025" x14ac:dyDescent="0.3">
      <c r="B2" s="2"/>
    </row>
    <row r="3" spans="1:6 1025:1025" x14ac:dyDescent="0.3">
      <c r="A3" s="101" t="s">
        <v>1</v>
      </c>
      <c r="B3" s="101"/>
      <c r="C3" s="101"/>
      <c r="D3" s="58"/>
    </row>
    <row r="4" spans="1:6 1025:1025" x14ac:dyDescent="0.3">
      <c r="A4" s="101" t="s">
        <v>145</v>
      </c>
      <c r="B4" s="101"/>
      <c r="C4" s="101"/>
      <c r="D4" s="58"/>
    </row>
    <row r="5" spans="1:6 1025:1025" ht="15.6" x14ac:dyDescent="0.3">
      <c r="A5" s="105" t="s">
        <v>12</v>
      </c>
      <c r="B5" s="105"/>
      <c r="C5" s="105"/>
      <c r="D5" s="59"/>
    </row>
    <row r="6" spans="1:6 1025:1025" ht="15.6" x14ac:dyDescent="0.3">
      <c r="A6" s="105" t="s">
        <v>100</v>
      </c>
      <c r="B6" s="105"/>
      <c r="C6" s="105"/>
      <c r="D6" s="59"/>
    </row>
    <row r="8" spans="1:6 1025:1025" ht="15.6" x14ac:dyDescent="0.3">
      <c r="B8" s="8"/>
      <c r="D8" s="59"/>
    </row>
    <row r="9" spans="1:6 1025:1025" ht="15.75" customHeight="1" x14ac:dyDescent="0.3">
      <c r="A9" s="104" t="s">
        <v>98</v>
      </c>
      <c r="B9" s="104"/>
      <c r="C9" s="104"/>
      <c r="D9" s="8" t="s">
        <v>51</v>
      </c>
    </row>
    <row r="10" spans="1:6 1025:1025" ht="15.6" x14ac:dyDescent="0.3">
      <c r="A10" s="10" t="s">
        <v>6</v>
      </c>
      <c r="B10" s="34" t="s">
        <v>16</v>
      </c>
      <c r="C10" s="34" t="s">
        <v>123</v>
      </c>
      <c r="D10" s="11" t="s">
        <v>17</v>
      </c>
      <c r="AMK10"/>
    </row>
    <row r="11" spans="1:6 1025:1025" ht="46.8" x14ac:dyDescent="0.3">
      <c r="A11" s="12"/>
      <c r="B11" s="35" t="s">
        <v>136</v>
      </c>
      <c r="C11" s="35" t="s">
        <v>126</v>
      </c>
      <c r="D11" s="89" t="s">
        <v>122</v>
      </c>
      <c r="AMK11"/>
    </row>
    <row r="12" spans="1:6 1025:1025" ht="15.6" x14ac:dyDescent="0.3">
      <c r="A12" s="15" t="s">
        <v>18</v>
      </c>
      <c r="B12" s="16">
        <f>'[1]CSGYK 2019.10.30'!$F$24</f>
        <v>230087500</v>
      </c>
      <c r="C12" s="16">
        <v>233105966</v>
      </c>
      <c r="D12" s="17" t="s">
        <v>19</v>
      </c>
      <c r="F12" s="115">
        <f>C12-B12</f>
        <v>3018466</v>
      </c>
      <c r="AMK12"/>
    </row>
    <row r="13" spans="1:6 1025:1025" ht="15.6" x14ac:dyDescent="0.3">
      <c r="A13" s="15" t="s">
        <v>20</v>
      </c>
      <c r="B13" s="16">
        <f>'[1]CSGYK 2019.10.30'!$F$25</f>
        <v>43990000.212499999</v>
      </c>
      <c r="C13" s="16">
        <v>44551602</v>
      </c>
      <c r="D13" s="17" t="s">
        <v>21</v>
      </c>
      <c r="F13" s="115">
        <f t="shared" ref="F13:F32" si="0">C13-B13</f>
        <v>561601.78750000149</v>
      </c>
      <c r="AMK13"/>
    </row>
    <row r="14" spans="1:6 1025:1025" ht="15.6" x14ac:dyDescent="0.3">
      <c r="A14" s="15" t="s">
        <v>22</v>
      </c>
      <c r="B14" s="16">
        <f>'[1]CSGYK 2019.10.30'!$F$64</f>
        <v>40102000</v>
      </c>
      <c r="C14" s="16">
        <v>40032992</v>
      </c>
      <c r="D14" s="17" t="s">
        <v>23</v>
      </c>
      <c r="F14" s="115">
        <f t="shared" si="0"/>
        <v>-69008</v>
      </c>
      <c r="AMK14"/>
    </row>
    <row r="15" spans="1:6 1025:1025" ht="15.6" x14ac:dyDescent="0.3">
      <c r="A15" s="15" t="s">
        <v>137</v>
      </c>
      <c r="B15" s="16">
        <f>'[1]CSGYK 2019.10.30'!$F$65</f>
        <v>450000</v>
      </c>
      <c r="C15" s="16">
        <f>'[1]CSGYK 2019.10.30'!$F$65</f>
        <v>450000</v>
      </c>
      <c r="D15" s="17" t="s">
        <v>25</v>
      </c>
      <c r="F15" s="115">
        <f t="shared" si="0"/>
        <v>0</v>
      </c>
      <c r="AMK15"/>
    </row>
    <row r="16" spans="1:6 1025:1025" ht="15.6" x14ac:dyDescent="0.3">
      <c r="A16" s="65" t="s">
        <v>127</v>
      </c>
      <c r="B16" s="16">
        <f>'[1]CSGYK 2019.10.30'!$F$74+'[1]CSGYK 2019.10.30'!$F$79</f>
        <v>0</v>
      </c>
      <c r="C16" s="16">
        <v>308000</v>
      </c>
      <c r="D16" s="18" t="s">
        <v>27</v>
      </c>
      <c r="F16" s="115">
        <f t="shared" si="0"/>
        <v>308000</v>
      </c>
      <c r="AMK16"/>
    </row>
    <row r="17" spans="1:6 1025:1025" ht="15.6" x14ac:dyDescent="0.3">
      <c r="A17" s="15" t="s">
        <v>28</v>
      </c>
      <c r="B17" s="16">
        <v>0</v>
      </c>
      <c r="C17" s="16">
        <v>0</v>
      </c>
      <c r="D17" s="17" t="s">
        <v>29</v>
      </c>
      <c r="F17" s="115">
        <f t="shared" si="0"/>
        <v>0</v>
      </c>
      <c r="AMK17"/>
    </row>
    <row r="18" spans="1:6 1025:1025" ht="15.6" x14ac:dyDescent="0.3">
      <c r="A18" s="20" t="s">
        <v>30</v>
      </c>
      <c r="B18" s="21">
        <f>SUM(B12:B17)</f>
        <v>314629500.21249998</v>
      </c>
      <c r="C18" s="21">
        <f>SUM(C12:C17)</f>
        <v>318448560</v>
      </c>
      <c r="F18" s="115">
        <f t="shared" si="0"/>
        <v>3819059.7875000238</v>
      </c>
      <c r="AMK18"/>
    </row>
    <row r="19" spans="1:6 1025:1025" ht="15.6" x14ac:dyDescent="0.3">
      <c r="A19" s="15" t="s">
        <v>33</v>
      </c>
      <c r="B19" s="16" t="s">
        <v>34</v>
      </c>
      <c r="C19" s="16" t="s">
        <v>34</v>
      </c>
      <c r="F19" s="115"/>
      <c r="AMK19"/>
    </row>
    <row r="20" spans="1:6 1025:1025" ht="15.6" x14ac:dyDescent="0.3">
      <c r="A20" s="26" t="s">
        <v>35</v>
      </c>
      <c r="B20" s="23">
        <f>B18</f>
        <v>314629500.21249998</v>
      </c>
      <c r="C20" s="23">
        <f>C18</f>
        <v>318448560</v>
      </c>
      <c r="F20" s="115">
        <f t="shared" si="0"/>
        <v>3819059.7875000238</v>
      </c>
      <c r="AMK20"/>
    </row>
    <row r="21" spans="1:6 1025:1025" ht="15.6" x14ac:dyDescent="0.3">
      <c r="A21" s="27"/>
      <c r="B21" s="25"/>
      <c r="C21" s="25"/>
      <c r="F21" s="115">
        <f t="shared" si="0"/>
        <v>0</v>
      </c>
      <c r="AMK21"/>
    </row>
    <row r="22" spans="1:6 1025:1025" ht="15.6" x14ac:dyDescent="0.3">
      <c r="A22" s="15" t="s">
        <v>36</v>
      </c>
      <c r="B22" s="19">
        <f>'[1]CSGYK 2019.10.30'!$E$95+'[1]CSGYK 2019.10.30'!$E$98</f>
        <v>2300000</v>
      </c>
      <c r="C22" s="19">
        <f>'[1]CSGYK 2019.10.30'!$E$95+'[1]CSGYK 2019.10.30'!$E$98</f>
        <v>2300000</v>
      </c>
      <c r="D22" s="17" t="s">
        <v>37</v>
      </c>
      <c r="F22" s="115">
        <f t="shared" si="0"/>
        <v>0</v>
      </c>
      <c r="AMK22"/>
    </row>
    <row r="23" spans="1:6 1025:1025" ht="28.8" x14ac:dyDescent="0.3">
      <c r="A23" s="15" t="s">
        <v>39</v>
      </c>
      <c r="B23" s="16">
        <v>0</v>
      </c>
      <c r="C23" s="16">
        <v>0</v>
      </c>
      <c r="D23" s="18" t="s">
        <v>40</v>
      </c>
      <c r="F23" s="115">
        <f t="shared" si="0"/>
        <v>0</v>
      </c>
      <c r="AMK23"/>
    </row>
    <row r="24" spans="1:6 1025:1025" ht="15.6" x14ac:dyDescent="0.3">
      <c r="A24" s="15" t="s">
        <v>41</v>
      </c>
      <c r="B24" s="16">
        <v>0</v>
      </c>
      <c r="C24" s="16">
        <v>0</v>
      </c>
      <c r="D24" s="17"/>
      <c r="F24" s="115">
        <f t="shared" si="0"/>
        <v>0</v>
      </c>
      <c r="AMK24"/>
    </row>
    <row r="25" spans="1:6 1025:1025" ht="15.6" x14ac:dyDescent="0.3">
      <c r="A25" s="15" t="s">
        <v>42</v>
      </c>
      <c r="B25" s="16">
        <f>'[1]CSGYK 2019.10.30'!$E$88</f>
        <v>50988654</v>
      </c>
      <c r="C25" s="16">
        <v>24373596</v>
      </c>
      <c r="D25" s="17" t="s">
        <v>53</v>
      </c>
      <c r="F25" s="115">
        <f t="shared" si="0"/>
        <v>-26615058</v>
      </c>
      <c r="AMK25"/>
    </row>
    <row r="26" spans="1:6 1025:1025" ht="15.6" x14ac:dyDescent="0.3">
      <c r="A26" s="15" t="s">
        <v>44</v>
      </c>
      <c r="B26" s="16">
        <f>'[1]CSGYK 2019.10.30'!$E$89+'[1]CSGYK 2019.10.30'!$E$91</f>
        <v>50988654</v>
      </c>
      <c r="C26" s="16">
        <v>24373596</v>
      </c>
      <c r="D26" s="17"/>
      <c r="F26" s="115">
        <f t="shared" si="0"/>
        <v>-26615058</v>
      </c>
      <c r="AMK26"/>
    </row>
    <row r="27" spans="1:6 1025:1025" ht="15.6" x14ac:dyDescent="0.3">
      <c r="A27" s="15" t="s">
        <v>66</v>
      </c>
      <c r="B27" s="16">
        <f>'[1]CSGYK 2019.10.30'!$E$102</f>
        <v>255304194.21249998</v>
      </c>
      <c r="C27" s="16">
        <v>285738312</v>
      </c>
      <c r="D27" s="17" t="s">
        <v>43</v>
      </c>
      <c r="F27" s="115">
        <f t="shared" si="0"/>
        <v>30434117.787500024</v>
      </c>
      <c r="AMK27"/>
    </row>
    <row r="28" spans="1:6 1025:1025" ht="15.6" x14ac:dyDescent="0.3">
      <c r="A28" s="15" t="s">
        <v>45</v>
      </c>
      <c r="B28" s="16">
        <v>0</v>
      </c>
      <c r="C28" s="16">
        <v>0</v>
      </c>
      <c r="D28" s="17" t="s">
        <v>46</v>
      </c>
      <c r="F28" s="115">
        <f t="shared" si="0"/>
        <v>0</v>
      </c>
      <c r="AMK28"/>
    </row>
    <row r="29" spans="1:6 1025:1025" ht="15.6" x14ac:dyDescent="0.3">
      <c r="A29" s="20" t="s">
        <v>47</v>
      </c>
      <c r="B29" s="21">
        <f>SUM(B28,B27,B25,B22)</f>
        <v>308592848.21249998</v>
      </c>
      <c r="C29" s="21">
        <f>SUM(C28,C27,C25,C22)</f>
        <v>312411908</v>
      </c>
      <c r="F29" s="115">
        <f t="shared" si="0"/>
        <v>3819059.7875000238</v>
      </c>
      <c r="AMK29"/>
    </row>
    <row r="30" spans="1:6 1025:1025" ht="15.6" x14ac:dyDescent="0.3">
      <c r="A30" s="15" t="s">
        <v>95</v>
      </c>
      <c r="B30" s="16">
        <f>'[1]CSGYK 2019.10.30'!$E$100</f>
        <v>6036652</v>
      </c>
      <c r="C30" s="16">
        <f>'[1]CSGYK 2019.10.30'!$E$100</f>
        <v>6036652</v>
      </c>
      <c r="F30" s="115">
        <f t="shared" si="0"/>
        <v>0</v>
      </c>
      <c r="AMK30"/>
    </row>
    <row r="31" spans="1:6 1025:1025" ht="15.6" x14ac:dyDescent="0.3">
      <c r="A31" s="15" t="s">
        <v>48</v>
      </c>
      <c r="B31" s="16" t="s">
        <v>34</v>
      </c>
      <c r="C31" s="16" t="s">
        <v>34</v>
      </c>
      <c r="F31" s="115"/>
      <c r="AMK31"/>
    </row>
    <row r="32" spans="1:6 1025:1025" ht="15.6" x14ac:dyDescent="0.3">
      <c r="A32" s="28" t="s">
        <v>49</v>
      </c>
      <c r="B32" s="23">
        <f>SUM(B29+B30)</f>
        <v>314629500.21249998</v>
      </c>
      <c r="C32" s="23">
        <f>SUM(C29+C30)</f>
        <v>318448560</v>
      </c>
      <c r="F32" s="115">
        <f t="shared" si="0"/>
        <v>3819059.7875000238</v>
      </c>
      <c r="AMK32"/>
    </row>
    <row r="34" spans="1:1025" ht="28.2" x14ac:dyDescent="0.3">
      <c r="A34" s="52" t="s">
        <v>133</v>
      </c>
      <c r="B34" s="2" t="s">
        <v>55</v>
      </c>
    </row>
    <row r="35" spans="1:1025" s="48" customFormat="1" ht="36.75" customHeight="1" x14ac:dyDescent="0.3">
      <c r="A35" s="52"/>
      <c r="B35" s="88" t="s">
        <v>134</v>
      </c>
      <c r="C35" s="87" t="s">
        <v>135</v>
      </c>
      <c r="D35" s="87" t="s">
        <v>128</v>
      </c>
      <c r="E35" s="1"/>
      <c r="F35" s="6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</row>
    <row r="36" spans="1:1025" x14ac:dyDescent="0.3">
      <c r="A36" s="39" t="s">
        <v>67</v>
      </c>
      <c r="B36" s="106">
        <f>'[1]CSGYK 2019.10.30'!$E$108+'[1]CSGYK 2019.10.30'!$E$109</f>
        <v>91980000</v>
      </c>
      <c r="C36" s="106">
        <v>98946000</v>
      </c>
      <c r="D36" s="106">
        <f>C36-B36</f>
        <v>6966000</v>
      </c>
    </row>
    <row r="37" spans="1:1025" x14ac:dyDescent="0.3">
      <c r="A37" s="39" t="s">
        <v>68</v>
      </c>
      <c r="B37" s="107"/>
      <c r="C37" s="107"/>
      <c r="D37" s="107"/>
    </row>
    <row r="38" spans="1:1025" s="56" customFormat="1" x14ac:dyDescent="0.3">
      <c r="A38" s="39" t="s">
        <v>97</v>
      </c>
      <c r="B38" s="82">
        <f>'[1]CSGYK 2019.10.30'!$E$110+'[1]CSGYK 2019.10.30'!$E$111</f>
        <v>14180109</v>
      </c>
      <c r="C38" s="61">
        <f>'[1]CSGYK 2019.10.30'!$E$110+'[1]CSGYK 2019.10.30'!$E$111</f>
        <v>14180109</v>
      </c>
      <c r="D38" s="50">
        <f>C38-B38</f>
        <v>0</v>
      </c>
      <c r="E38" s="1"/>
      <c r="F38" s="6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</row>
    <row r="39" spans="1:1025" ht="28.8" x14ac:dyDescent="0.3">
      <c r="A39" s="18" t="s">
        <v>111</v>
      </c>
      <c r="B39" s="50">
        <f>'[1]CSGYK 2019.10.30'!$E$114</f>
        <v>80418749.212499976</v>
      </c>
      <c r="C39" s="50">
        <f>'[1]CSGYK 2019.10.30'!$E$114-6966000</f>
        <v>73452749.212499976</v>
      </c>
      <c r="D39" s="50">
        <f>C39-B39</f>
        <v>-6966000</v>
      </c>
    </row>
    <row r="40" spans="1:1025" x14ac:dyDescent="0.3">
      <c r="A40" s="51" t="s">
        <v>109</v>
      </c>
      <c r="B40" s="81">
        <f>'[1]CSGYK 2019.10.30'!$E$115</f>
        <v>30849678</v>
      </c>
      <c r="C40" s="62">
        <f>'[1]CSGYK 2019.10.30'!$E$115</f>
        <v>30849678</v>
      </c>
      <c r="D40" s="50">
        <f>C40-B40</f>
        <v>0</v>
      </c>
    </row>
    <row r="41" spans="1:1025" s="60" customFormat="1" x14ac:dyDescent="0.3">
      <c r="A41" s="49" t="s">
        <v>116</v>
      </c>
      <c r="B41" s="50">
        <f>'[1]CSGYK 2019.10.30'!$E$107</f>
        <v>37875658</v>
      </c>
      <c r="C41" s="50">
        <f>'[1]CSGYK 2019.10.30'!$E$107</f>
        <v>37875658</v>
      </c>
      <c r="D41" s="50">
        <f>C41-B41</f>
        <v>0</v>
      </c>
      <c r="E41" s="1"/>
      <c r="F41" s="6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</row>
    <row r="42" spans="1:1025" s="83" customFormat="1" x14ac:dyDescent="0.3">
      <c r="A42" s="49" t="s">
        <v>129</v>
      </c>
      <c r="B42" s="50">
        <v>0</v>
      </c>
      <c r="C42" s="50">
        <v>682208</v>
      </c>
      <c r="D42" s="50">
        <f t="shared" ref="D42:D45" si="1">C42-B42</f>
        <v>682208</v>
      </c>
      <c r="E42" s="1"/>
      <c r="F42" s="6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</row>
    <row r="43" spans="1:1025" s="83" customFormat="1" x14ac:dyDescent="0.3">
      <c r="A43" s="49" t="s">
        <v>132</v>
      </c>
      <c r="B43" s="50">
        <v>0</v>
      </c>
      <c r="C43" s="50">
        <v>25932850</v>
      </c>
      <c r="D43" s="50">
        <f>C43-B43</f>
        <v>25932850</v>
      </c>
      <c r="E43" s="1"/>
      <c r="F43" s="6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</row>
    <row r="44" spans="1:1025" s="83" customFormat="1" x14ac:dyDescent="0.3">
      <c r="A44" s="49" t="s">
        <v>130</v>
      </c>
      <c r="B44" s="50">
        <v>0</v>
      </c>
      <c r="C44" s="50">
        <v>3546698</v>
      </c>
      <c r="D44" s="50">
        <f t="shared" si="1"/>
        <v>3546698</v>
      </c>
      <c r="E44" s="1"/>
      <c r="F44" s="6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</row>
    <row r="45" spans="1:1025" s="83" customFormat="1" x14ac:dyDescent="0.3">
      <c r="A45" s="49" t="s">
        <v>131</v>
      </c>
      <c r="B45" s="50">
        <v>0</v>
      </c>
      <c r="C45" s="50">
        <v>272362</v>
      </c>
      <c r="D45" s="50">
        <f t="shared" si="1"/>
        <v>272362</v>
      </c>
      <c r="E45" s="1"/>
      <c r="F45" s="6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</row>
    <row r="46" spans="1:1025" x14ac:dyDescent="0.3">
      <c r="A46" s="49" t="s">
        <v>69</v>
      </c>
      <c r="B46" s="85">
        <f>SUM(B36:B41)</f>
        <v>255304194.21249998</v>
      </c>
      <c r="C46" s="85">
        <f>SUM(C36:C45)</f>
        <v>285738312.21249998</v>
      </c>
      <c r="D46" s="86">
        <f>SUM(D36:D45)</f>
        <v>30434118</v>
      </c>
      <c r="F46" s="115">
        <f>C27-C46</f>
        <v>-0.21249997615814209</v>
      </c>
    </row>
    <row r="47" spans="1:1025" s="67" customFormat="1" x14ac:dyDescent="0.3">
      <c r="A47" s="1" t="s">
        <v>114</v>
      </c>
      <c r="B47" s="38"/>
      <c r="C47" s="38"/>
      <c r="D47" s="38"/>
      <c r="E47" s="1"/>
      <c r="F47" s="6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</row>
    <row r="48" spans="1:1025" s="71" customFormat="1" x14ac:dyDescent="0.3">
      <c r="A48" s="1"/>
      <c r="B48" s="38"/>
      <c r="C48" s="38"/>
      <c r="D48" s="38"/>
      <c r="E48" s="1"/>
      <c r="F48" s="6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</row>
    <row r="50" spans="1:1025" s="67" customFormat="1" x14ac:dyDescent="0.3">
      <c r="A50" s="1"/>
      <c r="B50" s="1"/>
      <c r="C50" s="1"/>
      <c r="D50" s="1"/>
      <c r="E50" s="1"/>
      <c r="F50" s="6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</row>
    <row r="51" spans="1:1025" x14ac:dyDescent="0.3">
      <c r="A51" s="1" t="s">
        <v>125</v>
      </c>
    </row>
  </sheetData>
  <mergeCells count="9">
    <mergeCell ref="D36:D37"/>
    <mergeCell ref="C36:C37"/>
    <mergeCell ref="A9:C9"/>
    <mergeCell ref="B1:C1"/>
    <mergeCell ref="A3:C3"/>
    <mergeCell ref="A4:C4"/>
    <mergeCell ref="A5:C5"/>
    <mergeCell ref="A6:C6"/>
    <mergeCell ref="B36:B37"/>
  </mergeCells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7"/>
  <sheetViews>
    <sheetView workbookViewId="0">
      <selection activeCell="F1" sqref="F1:F1048576"/>
    </sheetView>
  </sheetViews>
  <sheetFormatPr defaultRowHeight="14.4" x14ac:dyDescent="0.3"/>
  <cols>
    <col min="1" max="1" width="59.09765625" style="1" customWidth="1"/>
    <col min="2" max="2" width="14" style="1" customWidth="1"/>
    <col min="3" max="3" width="15.09765625" style="1" customWidth="1"/>
    <col min="4" max="5" width="8.69921875" style="1" customWidth="1"/>
    <col min="6" max="6" width="10.8984375" style="115" bestFit="1" customWidth="1"/>
    <col min="7" max="1024" width="8.69921875" style="1" customWidth="1"/>
    <col min="1025" max="1025" width="9" customWidth="1"/>
  </cols>
  <sheetData>
    <row r="1" spans="1:6" x14ac:dyDescent="0.3">
      <c r="B1" s="101" t="s">
        <v>70</v>
      </c>
      <c r="C1" s="101"/>
    </row>
    <row r="2" spans="1:6" x14ac:dyDescent="0.3">
      <c r="B2" s="2"/>
    </row>
    <row r="3" spans="1:6" x14ac:dyDescent="0.3">
      <c r="A3" s="101" t="s">
        <v>1</v>
      </c>
      <c r="B3" s="101"/>
      <c r="C3" s="101"/>
    </row>
    <row r="4" spans="1:6" x14ac:dyDescent="0.3">
      <c r="A4" s="101" t="s">
        <v>145</v>
      </c>
      <c r="B4" s="101"/>
      <c r="C4" s="101"/>
    </row>
    <row r="5" spans="1:6" ht="15.6" x14ac:dyDescent="0.3">
      <c r="A5" s="105" t="s">
        <v>12</v>
      </c>
      <c r="B5" s="105"/>
      <c r="C5" s="105"/>
    </row>
    <row r="6" spans="1:6" ht="15.6" x14ac:dyDescent="0.3">
      <c r="A6" s="105" t="s">
        <v>100</v>
      </c>
      <c r="B6" s="105"/>
      <c r="C6" s="105"/>
    </row>
    <row r="8" spans="1:6" ht="15.6" x14ac:dyDescent="0.3">
      <c r="B8" s="8"/>
      <c r="C8" s="40"/>
    </row>
    <row r="9" spans="1:6" ht="15.75" customHeight="1" x14ac:dyDescent="0.3">
      <c r="A9" s="104" t="s">
        <v>8</v>
      </c>
      <c r="B9" s="104"/>
      <c r="C9" s="104"/>
    </row>
    <row r="10" spans="1:6" ht="15.6" x14ac:dyDescent="0.3">
      <c r="A10" s="10" t="s">
        <v>6</v>
      </c>
      <c r="B10" s="34" t="s">
        <v>16</v>
      </c>
      <c r="C10" s="34" t="s">
        <v>123</v>
      </c>
      <c r="D10" s="11" t="s">
        <v>17</v>
      </c>
    </row>
    <row r="11" spans="1:6" ht="46.8" x14ac:dyDescent="0.3">
      <c r="A11" s="12"/>
      <c r="B11" s="35" t="s">
        <v>120</v>
      </c>
      <c r="C11" s="35" t="s">
        <v>124</v>
      </c>
      <c r="D11" s="14" t="s">
        <v>113</v>
      </c>
    </row>
    <row r="12" spans="1:6" ht="15.6" x14ac:dyDescent="0.3">
      <c r="A12" s="15" t="s">
        <v>18</v>
      </c>
      <c r="B12" s="19">
        <f>[1]Társulás!$F$19</f>
        <v>980000</v>
      </c>
      <c r="C12" s="19">
        <f>[1]Társulás!$F$19</f>
        <v>980000</v>
      </c>
      <c r="D12" s="17" t="s">
        <v>19</v>
      </c>
      <c r="E12" s="1" t="s">
        <v>71</v>
      </c>
      <c r="F12" s="115">
        <f>C12-B12</f>
        <v>0</v>
      </c>
    </row>
    <row r="13" spans="1:6" ht="15.6" x14ac:dyDescent="0.3">
      <c r="A13" s="15" t="s">
        <v>20</v>
      </c>
      <c r="B13" s="19">
        <f>[1]Társulás!$F$24</f>
        <v>275750</v>
      </c>
      <c r="C13" s="19">
        <f>[1]Társulás!$F$24</f>
        <v>275750</v>
      </c>
      <c r="D13" s="17" t="s">
        <v>21</v>
      </c>
      <c r="E13" s="1" t="s">
        <v>71</v>
      </c>
      <c r="F13" s="115">
        <f t="shared" ref="F13:F35" si="0">C13-B13</f>
        <v>0</v>
      </c>
    </row>
    <row r="14" spans="1:6" ht="15.6" x14ac:dyDescent="0.3">
      <c r="A14" s="15" t="s">
        <v>22</v>
      </c>
      <c r="B14" s="19">
        <f>[1]Társulás!$F$38</f>
        <v>4143450</v>
      </c>
      <c r="C14" s="19">
        <v>4573450</v>
      </c>
      <c r="D14" s="17" t="s">
        <v>23</v>
      </c>
      <c r="E14" s="1" t="s">
        <v>71</v>
      </c>
      <c r="F14" s="115">
        <f t="shared" si="0"/>
        <v>430000</v>
      </c>
    </row>
    <row r="15" spans="1:6" ht="15.6" x14ac:dyDescent="0.3">
      <c r="A15" s="15" t="s">
        <v>153</v>
      </c>
      <c r="B15" s="19">
        <f>[2]Társulás!$F$45</f>
        <v>8638790</v>
      </c>
      <c r="C15" s="19">
        <f>[2]Társulás!$F$45</f>
        <v>8638790</v>
      </c>
      <c r="D15" s="17" t="s">
        <v>92</v>
      </c>
      <c r="F15" s="115">
        <f t="shared" si="0"/>
        <v>0</v>
      </c>
    </row>
    <row r="16" spans="1:6" ht="15.6" x14ac:dyDescent="0.3">
      <c r="A16" s="15" t="s">
        <v>72</v>
      </c>
      <c r="B16" s="19">
        <f>[1]Társulás!$F$68</f>
        <v>764662875.21017981</v>
      </c>
      <c r="C16" s="19">
        <v>837524058</v>
      </c>
      <c r="D16" s="18" t="s">
        <v>73</v>
      </c>
      <c r="F16" s="115">
        <f t="shared" si="0"/>
        <v>72861182.789820194</v>
      </c>
    </row>
    <row r="17" spans="1:6" ht="28.8" x14ac:dyDescent="0.3">
      <c r="A17" s="15" t="s">
        <v>26</v>
      </c>
      <c r="B17" s="19">
        <f>[1]Társulás!$F$62+[1]Társulás!$F$67</f>
        <v>0</v>
      </c>
      <c r="C17" s="19">
        <v>1</v>
      </c>
      <c r="D17" s="18" t="s">
        <v>27</v>
      </c>
      <c r="F17" s="115">
        <f t="shared" si="0"/>
        <v>1</v>
      </c>
    </row>
    <row r="18" spans="1:6" ht="15.6" x14ac:dyDescent="0.3">
      <c r="A18" s="15" t="s">
        <v>28</v>
      </c>
      <c r="B18" s="19">
        <v>0</v>
      </c>
      <c r="C18" s="19">
        <v>0</v>
      </c>
      <c r="D18" s="17" t="s">
        <v>29</v>
      </c>
      <c r="F18" s="115">
        <f t="shared" si="0"/>
        <v>0</v>
      </c>
    </row>
    <row r="19" spans="1:6" ht="15.6" x14ac:dyDescent="0.3">
      <c r="A19" s="20" t="s">
        <v>30</v>
      </c>
      <c r="B19" s="21">
        <f>SUM(B12:B18)</f>
        <v>778700865.21017981</v>
      </c>
      <c r="C19" s="21">
        <f>SUM(C12:C18)</f>
        <v>851992049</v>
      </c>
      <c r="F19" s="115">
        <f t="shared" si="0"/>
        <v>73291183.789820194</v>
      </c>
    </row>
    <row r="20" spans="1:6" ht="15.6" x14ac:dyDescent="0.3">
      <c r="A20" s="15" t="s">
        <v>31</v>
      </c>
      <c r="B20" s="19">
        <f>[2]Társulás!$F$46</f>
        <v>65913275.75</v>
      </c>
      <c r="C20" s="19">
        <v>56686562</v>
      </c>
      <c r="D20" s="17" t="s">
        <v>93</v>
      </c>
      <c r="F20" s="115">
        <f t="shared" si="0"/>
        <v>-9226713.75</v>
      </c>
    </row>
    <row r="21" spans="1:6" ht="15.6" x14ac:dyDescent="0.3">
      <c r="A21" s="15" t="s">
        <v>33</v>
      </c>
      <c r="B21" s="16" t="s">
        <v>34</v>
      </c>
      <c r="C21" s="16" t="s">
        <v>34</v>
      </c>
    </row>
    <row r="22" spans="1:6" ht="15.6" x14ac:dyDescent="0.3">
      <c r="A22" s="26" t="s">
        <v>35</v>
      </c>
      <c r="B22" s="24">
        <f>SUM(B19+B20)</f>
        <v>844614140.96017981</v>
      </c>
      <c r="C22" s="24">
        <f>SUM(C19+C20)</f>
        <v>908678611</v>
      </c>
      <c r="F22" s="115">
        <f t="shared" si="0"/>
        <v>64064470.039820194</v>
      </c>
    </row>
    <row r="23" spans="1:6" ht="15.6" x14ac:dyDescent="0.3">
      <c r="A23" s="27"/>
      <c r="B23" s="25"/>
      <c r="C23" s="25"/>
      <c r="D23" s="41"/>
      <c r="F23" s="115">
        <f t="shared" si="0"/>
        <v>0</v>
      </c>
    </row>
    <row r="24" spans="1:6" ht="15.6" x14ac:dyDescent="0.3">
      <c r="A24" s="15" t="s">
        <v>36</v>
      </c>
      <c r="B24" s="19">
        <v>0</v>
      </c>
      <c r="C24" s="19">
        <v>210411</v>
      </c>
      <c r="D24" s="17" t="s">
        <v>37</v>
      </c>
      <c r="F24" s="115">
        <f t="shared" si="0"/>
        <v>210411</v>
      </c>
    </row>
    <row r="25" spans="1:6" ht="15.6" x14ac:dyDescent="0.3">
      <c r="A25" s="15" t="s">
        <v>38</v>
      </c>
      <c r="B25" s="19">
        <v>0</v>
      </c>
      <c r="C25" s="19">
        <v>0</v>
      </c>
      <c r="D25" s="17"/>
      <c r="F25" s="115">
        <f t="shared" si="0"/>
        <v>0</v>
      </c>
    </row>
    <row r="26" spans="1:6" ht="43.2" x14ac:dyDescent="0.3">
      <c r="A26" s="65" t="s">
        <v>106</v>
      </c>
      <c r="B26" s="19">
        <f>[1]Társulás!$F$110</f>
        <v>0</v>
      </c>
      <c r="C26" s="19">
        <f>[1]Társulás!$F$110</f>
        <v>0</v>
      </c>
      <c r="D26" s="18" t="s">
        <v>40</v>
      </c>
      <c r="F26" s="115">
        <f t="shared" si="0"/>
        <v>0</v>
      </c>
    </row>
    <row r="27" spans="1:6" ht="15.6" x14ac:dyDescent="0.3">
      <c r="A27" s="15" t="s">
        <v>41</v>
      </c>
      <c r="B27" s="19">
        <v>0</v>
      </c>
      <c r="C27" s="19">
        <v>0</v>
      </c>
      <c r="D27" s="17"/>
      <c r="F27" s="115">
        <f t="shared" si="0"/>
        <v>0</v>
      </c>
    </row>
    <row r="28" spans="1:6" ht="15.6" x14ac:dyDescent="0.3">
      <c r="A28" s="15" t="s">
        <v>42</v>
      </c>
      <c r="B28" s="19">
        <f>[1]Társulás!$F$79+[1]Társulás!$F$91+[1]Társulás!$F$80+[1]Társulás!$F$83</f>
        <v>797246484.21249998</v>
      </c>
      <c r="C28" s="19">
        <v>861100543</v>
      </c>
      <c r="D28" s="17" t="s">
        <v>94</v>
      </c>
      <c r="F28" s="115">
        <f t="shared" si="0"/>
        <v>63854058.787500024</v>
      </c>
    </row>
    <row r="29" spans="1:6" ht="15.6" x14ac:dyDescent="0.3">
      <c r="A29" s="15" t="s">
        <v>44</v>
      </c>
      <c r="B29" s="19">
        <f>[1]Társulás!$F$79</f>
        <v>483659197</v>
      </c>
      <c r="C29" s="19">
        <v>490625167</v>
      </c>
      <c r="D29" s="17"/>
      <c r="F29" s="115">
        <f t="shared" si="0"/>
        <v>6965970</v>
      </c>
    </row>
    <row r="30" spans="1:6" ht="15.6" x14ac:dyDescent="0.3">
      <c r="A30" s="15" t="s">
        <v>66</v>
      </c>
      <c r="B30" s="19">
        <v>0</v>
      </c>
      <c r="C30" s="19">
        <v>0</v>
      </c>
      <c r="D30" s="17"/>
      <c r="F30" s="115">
        <f t="shared" si="0"/>
        <v>0</v>
      </c>
    </row>
    <row r="31" spans="1:6" ht="15.6" x14ac:dyDescent="0.3">
      <c r="A31" s="15" t="s">
        <v>45</v>
      </c>
      <c r="B31" s="19">
        <v>0</v>
      </c>
      <c r="C31" s="19">
        <v>0</v>
      </c>
      <c r="D31" s="17" t="s">
        <v>46</v>
      </c>
      <c r="F31" s="115">
        <f t="shared" si="0"/>
        <v>0</v>
      </c>
    </row>
    <row r="32" spans="1:6" ht="15.6" x14ac:dyDescent="0.3">
      <c r="A32" s="20" t="s">
        <v>47</v>
      </c>
      <c r="B32" s="21">
        <f>SUM(B24+B25+B26+B28+B30+B31)</f>
        <v>797246484.21249998</v>
      </c>
      <c r="C32" s="21">
        <f>SUM(C24+C25+C26+C28+C30+C31)</f>
        <v>861310954</v>
      </c>
      <c r="F32" s="115">
        <f t="shared" si="0"/>
        <v>64064469.787500024</v>
      </c>
    </row>
    <row r="33" spans="1:6" ht="15.6" x14ac:dyDescent="0.3">
      <c r="A33" s="15" t="s">
        <v>95</v>
      </c>
      <c r="B33" s="16">
        <f>[1]Társulás!$F$99</f>
        <v>47367657</v>
      </c>
      <c r="C33" s="16">
        <f>[1]Társulás!$F$99</f>
        <v>47367657</v>
      </c>
      <c r="F33" s="115">
        <f t="shared" si="0"/>
        <v>0</v>
      </c>
    </row>
    <row r="34" spans="1:6" ht="15.6" x14ac:dyDescent="0.3">
      <c r="A34" s="15" t="s">
        <v>48</v>
      </c>
      <c r="B34" s="16" t="s">
        <v>34</v>
      </c>
      <c r="C34" s="16" t="s">
        <v>34</v>
      </c>
    </row>
    <row r="35" spans="1:6" ht="15.6" x14ac:dyDescent="0.3">
      <c r="A35" s="28" t="s">
        <v>49</v>
      </c>
      <c r="B35" s="23">
        <f>B32+B33</f>
        <v>844614141.21249998</v>
      </c>
      <c r="C35" s="23">
        <f>C32+C33</f>
        <v>908678611</v>
      </c>
      <c r="F35" s="115">
        <f t="shared" si="0"/>
        <v>64064469.787500024</v>
      </c>
    </row>
    <row r="37" spans="1:6" x14ac:dyDescent="0.3">
      <c r="A37" s="1" t="s">
        <v>125</v>
      </c>
    </row>
  </sheetData>
  <mergeCells count="6">
    <mergeCell ref="A9:C9"/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9"/>
  <sheetViews>
    <sheetView tabSelected="1" topLeftCell="A31" workbookViewId="0">
      <selection activeCell="J15" sqref="J15"/>
    </sheetView>
  </sheetViews>
  <sheetFormatPr defaultRowHeight="14.4" x14ac:dyDescent="0.3"/>
  <cols>
    <col min="1" max="1" width="31.5" style="1" customWidth="1"/>
    <col min="2" max="2" width="15.69921875" style="1" customWidth="1"/>
    <col min="3" max="3" width="17.3984375" style="1" customWidth="1"/>
    <col min="4" max="4" width="15.19921875" style="1" customWidth="1"/>
    <col min="5" max="5" width="18.69921875" style="1" customWidth="1"/>
    <col min="6" max="6" width="16.8984375" style="1" customWidth="1"/>
    <col min="7" max="7" width="20.8984375" style="1" customWidth="1"/>
    <col min="8" max="8" width="18.59765625" style="1" customWidth="1"/>
    <col min="9" max="9" width="13.19921875" style="73" customWidth="1"/>
    <col min="10" max="1024" width="9.3984375" style="1" customWidth="1"/>
    <col min="1025" max="1025" width="9" customWidth="1"/>
  </cols>
  <sheetData>
    <row r="1" spans="1:1024" x14ac:dyDescent="0.3">
      <c r="B1" s="108"/>
      <c r="C1" s="108"/>
      <c r="F1" s="2"/>
      <c r="G1" s="2" t="s">
        <v>74</v>
      </c>
    </row>
    <row r="2" spans="1:1024" x14ac:dyDescent="0.3">
      <c r="A2" s="101" t="s">
        <v>1</v>
      </c>
      <c r="B2" s="101"/>
      <c r="C2" s="101"/>
      <c r="D2" s="101"/>
      <c r="E2" s="101"/>
      <c r="F2" s="101"/>
      <c r="G2" s="101"/>
      <c r="H2" s="101"/>
    </row>
    <row r="3" spans="1:1024" x14ac:dyDescent="0.3">
      <c r="A3" s="101" t="s">
        <v>145</v>
      </c>
      <c r="B3" s="101"/>
      <c r="C3" s="101"/>
      <c r="D3" s="101"/>
      <c r="E3" s="101"/>
      <c r="F3" s="101"/>
      <c r="G3" s="101"/>
      <c r="H3" s="101"/>
    </row>
    <row r="4" spans="1:1024" x14ac:dyDescent="0.3">
      <c r="A4" s="84"/>
      <c r="B4" s="84"/>
      <c r="C4" s="84"/>
      <c r="D4" s="84"/>
      <c r="E4" s="84"/>
      <c r="F4" s="84"/>
      <c r="G4" s="84"/>
      <c r="H4" s="84"/>
    </row>
    <row r="5" spans="1:1024" x14ac:dyDescent="0.3">
      <c r="A5" s="101" t="s">
        <v>86</v>
      </c>
      <c r="B5" s="101"/>
      <c r="C5" s="101"/>
      <c r="D5" s="101"/>
      <c r="E5" s="101"/>
      <c r="F5" s="101"/>
      <c r="G5" s="101"/>
      <c r="H5" s="101"/>
    </row>
    <row r="6" spans="1:1024" x14ac:dyDescent="0.3">
      <c r="A6" s="101" t="s">
        <v>152</v>
      </c>
      <c r="B6" s="101"/>
      <c r="C6" s="101"/>
      <c r="D6" s="101"/>
      <c r="E6" s="101"/>
      <c r="F6" s="101"/>
      <c r="G6" s="101"/>
      <c r="H6" s="101"/>
    </row>
    <row r="7" spans="1:1024" x14ac:dyDescent="0.3">
      <c r="A7" s="101" t="s">
        <v>101</v>
      </c>
      <c r="B7" s="101"/>
      <c r="C7" s="101"/>
      <c r="D7" s="101"/>
      <c r="E7" s="101"/>
      <c r="F7" s="101"/>
      <c r="G7" s="101"/>
      <c r="H7" s="101"/>
    </row>
    <row r="8" spans="1:1024" x14ac:dyDescent="0.3">
      <c r="A8" s="2" t="s">
        <v>102</v>
      </c>
      <c r="B8" s="2" t="s">
        <v>146</v>
      </c>
    </row>
    <row r="9" spans="1:1024" ht="28.8" x14ac:dyDescent="0.3">
      <c r="A9" s="2" t="s">
        <v>75</v>
      </c>
      <c r="B9" s="42" t="s">
        <v>18</v>
      </c>
      <c r="C9" s="2" t="s">
        <v>76</v>
      </c>
      <c r="D9" s="2" t="s">
        <v>77</v>
      </c>
      <c r="E9" s="42" t="s">
        <v>78</v>
      </c>
      <c r="F9" s="2" t="s">
        <v>79</v>
      </c>
      <c r="G9" s="42" t="s">
        <v>80</v>
      </c>
      <c r="H9" s="2" t="s">
        <v>69</v>
      </c>
      <c r="AMJ9"/>
    </row>
    <row r="10" spans="1:1024" x14ac:dyDescent="0.3">
      <c r="A10" s="18" t="s">
        <v>10</v>
      </c>
      <c r="B10" s="109">
        <f>'[3]2B'!C12</f>
        <v>537090000</v>
      </c>
      <c r="C10" s="109">
        <f>'[3]2B'!C13</f>
        <v>105914760</v>
      </c>
      <c r="D10" s="109">
        <f>'[3]2B'!C14</f>
        <v>270979069</v>
      </c>
      <c r="E10" s="109">
        <f>'[3]2B'!C15</f>
        <v>600000</v>
      </c>
      <c r="F10" s="109">
        <v>0</v>
      </c>
      <c r="G10" s="109">
        <v>0</v>
      </c>
      <c r="H10" s="109">
        <f>SUM(B10:G10)</f>
        <v>914583829</v>
      </c>
      <c r="AMJ10"/>
    </row>
    <row r="11" spans="1:1024" x14ac:dyDescent="0.3">
      <c r="A11" s="18" t="s">
        <v>98</v>
      </c>
      <c r="B11" s="109">
        <f>'[3]2C'!C12</f>
        <v>230087500</v>
      </c>
      <c r="C11" s="109">
        <f>'[3]2C'!C13</f>
        <v>43990000.212499999</v>
      </c>
      <c r="D11" s="109">
        <f>'[3]2C'!C14</f>
        <v>40102000</v>
      </c>
      <c r="E11" s="109">
        <f>'[3]2C'!C15</f>
        <v>450000</v>
      </c>
      <c r="F11" s="109">
        <v>0</v>
      </c>
      <c r="G11" s="109">
        <v>0</v>
      </c>
      <c r="H11" s="109">
        <f>SUM(B11:G11)</f>
        <v>314629500.21249998</v>
      </c>
      <c r="AMJ11"/>
    </row>
    <row r="12" spans="1:1024" x14ac:dyDescent="0.3">
      <c r="A12" s="18" t="s">
        <v>8</v>
      </c>
      <c r="B12" s="109">
        <f>'[3]2D'!C12</f>
        <v>980000</v>
      </c>
      <c r="C12" s="109">
        <f>'[3]2D'!C13</f>
        <v>275750</v>
      </c>
      <c r="D12" s="109">
        <f>'[3]2D'!C14</f>
        <v>4143450</v>
      </c>
      <c r="E12" s="109">
        <v>0</v>
      </c>
      <c r="F12" s="109">
        <f>'[3]2D'!C20</f>
        <v>65913275.75</v>
      </c>
      <c r="G12" s="109">
        <f>'[3]2D'!C15</f>
        <v>8638790</v>
      </c>
      <c r="H12" s="109">
        <f>SUM(B12:G12)</f>
        <v>79951265.75</v>
      </c>
      <c r="AMJ12"/>
    </row>
    <row r="13" spans="1:1024" x14ac:dyDescent="0.3">
      <c r="A13" s="43" t="s">
        <v>81</v>
      </c>
      <c r="B13" s="44">
        <f t="shared" ref="B13:H13" si="0">SUM(B10:B12)</f>
        <v>768157500</v>
      </c>
      <c r="C13" s="44">
        <f t="shared" si="0"/>
        <v>150180510.21250001</v>
      </c>
      <c r="D13" s="44">
        <f t="shared" si="0"/>
        <v>315224519</v>
      </c>
      <c r="E13" s="44">
        <f t="shared" si="0"/>
        <v>1050000</v>
      </c>
      <c r="F13" s="44">
        <f t="shared" si="0"/>
        <v>65913275.75</v>
      </c>
      <c r="G13" s="44">
        <f t="shared" si="0"/>
        <v>8638790</v>
      </c>
      <c r="H13" s="44">
        <f t="shared" si="0"/>
        <v>1309164594.9625001</v>
      </c>
      <c r="AMJ13"/>
    </row>
    <row r="14" spans="1:1024" s="1" customFormat="1" x14ac:dyDescent="0.3">
      <c r="A14" s="42"/>
      <c r="B14" s="47"/>
      <c r="C14" s="47"/>
      <c r="D14" s="47"/>
      <c r="E14" s="47"/>
      <c r="F14" s="47"/>
      <c r="G14" s="47"/>
      <c r="H14" s="47"/>
      <c r="I14" s="73"/>
    </row>
    <row r="15" spans="1:1024" s="1" customFormat="1" x14ac:dyDescent="0.3">
      <c r="A15" s="2" t="s">
        <v>102</v>
      </c>
      <c r="B15" s="2" t="s">
        <v>148</v>
      </c>
      <c r="I15" s="73"/>
    </row>
    <row r="16" spans="1:1024" s="1" customFormat="1" ht="28.8" x14ac:dyDescent="0.3">
      <c r="A16" s="2" t="s">
        <v>75</v>
      </c>
      <c r="B16" s="42" t="s">
        <v>18</v>
      </c>
      <c r="C16" s="2" t="s">
        <v>76</v>
      </c>
      <c r="D16" s="2" t="s">
        <v>77</v>
      </c>
      <c r="E16" s="42" t="s">
        <v>78</v>
      </c>
      <c r="F16" s="2" t="s">
        <v>79</v>
      </c>
      <c r="G16" s="42" t="s">
        <v>80</v>
      </c>
      <c r="H16" s="2" t="s">
        <v>69</v>
      </c>
      <c r="I16" s="73"/>
    </row>
    <row r="17" spans="1:1024" s="1" customFormat="1" x14ac:dyDescent="0.3">
      <c r="A17" s="18" t="s">
        <v>10</v>
      </c>
      <c r="B17" s="109">
        <v>540120992</v>
      </c>
      <c r="C17" s="109">
        <v>106646982</v>
      </c>
      <c r="D17" s="109">
        <v>271101081</v>
      </c>
      <c r="E17" s="109">
        <v>600000</v>
      </c>
      <c r="F17" s="109">
        <v>0</v>
      </c>
      <c r="G17" s="109">
        <v>1302838</v>
      </c>
      <c r="H17" s="109">
        <f>SUM(B17:G17)</f>
        <v>919771893</v>
      </c>
      <c r="I17" s="73"/>
    </row>
    <row r="18" spans="1:1024" s="1" customFormat="1" x14ac:dyDescent="0.3">
      <c r="A18" s="18" t="s">
        <v>98</v>
      </c>
      <c r="B18" s="109">
        <v>233105966</v>
      </c>
      <c r="C18" s="109">
        <v>44551602</v>
      </c>
      <c r="D18" s="109">
        <v>40032992</v>
      </c>
      <c r="E18" s="109">
        <v>450000</v>
      </c>
      <c r="F18" s="109">
        <v>0</v>
      </c>
      <c r="G18" s="109">
        <v>0</v>
      </c>
      <c r="H18" s="109">
        <f>SUM(B18:G18)</f>
        <v>318140560</v>
      </c>
      <c r="I18" s="73"/>
    </row>
    <row r="19" spans="1:1024" s="1" customFormat="1" x14ac:dyDescent="0.3">
      <c r="A19" s="18" t="s">
        <v>8</v>
      </c>
      <c r="B19" s="109">
        <v>980000</v>
      </c>
      <c r="C19" s="109">
        <v>275750</v>
      </c>
      <c r="D19" s="109">
        <v>4573450</v>
      </c>
      <c r="E19" s="109">
        <v>0</v>
      </c>
      <c r="F19" s="109">
        <v>56686562</v>
      </c>
      <c r="G19" s="109">
        <v>8638790</v>
      </c>
      <c r="H19" s="109">
        <f>SUM(B19:G19)</f>
        <v>71154552</v>
      </c>
      <c r="I19" s="73"/>
    </row>
    <row r="20" spans="1:1024" s="1" customFormat="1" x14ac:dyDescent="0.3">
      <c r="A20" s="43" t="s">
        <v>81</v>
      </c>
      <c r="B20" s="44">
        <f t="shared" ref="B20:H20" si="1">SUM(B17:B19)</f>
        <v>774206958</v>
      </c>
      <c r="C20" s="44">
        <f t="shared" si="1"/>
        <v>151474334</v>
      </c>
      <c r="D20" s="44">
        <f t="shared" si="1"/>
        <v>315707523</v>
      </c>
      <c r="E20" s="44">
        <f t="shared" si="1"/>
        <v>1050000</v>
      </c>
      <c r="F20" s="44">
        <f t="shared" si="1"/>
        <v>56686562</v>
      </c>
      <c r="G20" s="44">
        <f t="shared" si="1"/>
        <v>9941628</v>
      </c>
      <c r="H20" s="44">
        <f t="shared" si="1"/>
        <v>1309067005</v>
      </c>
      <c r="I20" s="73"/>
    </row>
    <row r="21" spans="1:1024" s="1" customFormat="1" x14ac:dyDescent="0.3">
      <c r="A21" s="42"/>
      <c r="B21" s="47"/>
      <c r="C21" s="47"/>
      <c r="D21" s="47"/>
      <c r="E21" s="47"/>
      <c r="F21" s="47"/>
      <c r="G21" s="47"/>
      <c r="H21" s="47"/>
      <c r="I21" s="73"/>
    </row>
    <row r="22" spans="1:1024" s="1" customFormat="1" x14ac:dyDescent="0.3">
      <c r="A22" s="42"/>
      <c r="B22" s="47"/>
      <c r="C22" s="47"/>
      <c r="D22" s="47"/>
      <c r="E22" s="47"/>
      <c r="F22" s="47"/>
      <c r="G22" s="47"/>
      <c r="H22" s="47"/>
      <c r="I22" s="73"/>
    </row>
    <row r="23" spans="1:1024" s="1" customFormat="1" x14ac:dyDescent="0.3">
      <c r="A23" s="2" t="s">
        <v>103</v>
      </c>
      <c r="B23" s="2" t="s">
        <v>146</v>
      </c>
      <c r="I23" s="73"/>
    </row>
    <row r="24" spans="1:1024" ht="28.8" x14ac:dyDescent="0.3">
      <c r="A24" s="2" t="s">
        <v>75</v>
      </c>
      <c r="B24" s="42" t="s">
        <v>82</v>
      </c>
      <c r="C24" s="42" t="s">
        <v>59</v>
      </c>
      <c r="D24" s="2" t="s">
        <v>83</v>
      </c>
      <c r="E24" s="42" t="s">
        <v>84</v>
      </c>
      <c r="F24" s="42" t="s">
        <v>85</v>
      </c>
      <c r="G24" s="42" t="s">
        <v>96</v>
      </c>
      <c r="H24" s="42" t="s">
        <v>69</v>
      </c>
      <c r="AMJ24"/>
    </row>
    <row r="25" spans="1:1024" x14ac:dyDescent="0.3">
      <c r="A25" s="45" t="s">
        <v>10</v>
      </c>
      <c r="B25" s="109">
        <f>'[3]2B'!C22</f>
        <v>299400000</v>
      </c>
      <c r="C25" s="110">
        <f>'[3]2B'!C37+'[3]2B'!C38+'[3]2B'!C39+'[3]2B'!C40+'[3]2B'!C41+'[3]2B'!C42+'[3]2B'!C43+'[3]2B'!C44</f>
        <v>339623430</v>
      </c>
      <c r="D25" s="110">
        <f>'[3]4'!D13</f>
        <v>71928146</v>
      </c>
      <c r="E25" s="109">
        <f>'[3]4'!E13+'[3]4'!H13</f>
        <v>134225295.99767983</v>
      </c>
      <c r="F25" s="110">
        <f>'[3]4'!G13</f>
        <v>24879440</v>
      </c>
      <c r="G25" s="110">
        <f>'[3]2B'!C30-6835855</f>
        <v>44527517</v>
      </c>
      <c r="H25" s="109">
        <f>SUM(B25:G25)</f>
        <v>914583828.99767983</v>
      </c>
      <c r="I25" s="78">
        <f>H10-H25</f>
        <v>2.3201704025268555E-3</v>
      </c>
      <c r="AMJ25"/>
    </row>
    <row r="26" spans="1:1024" x14ac:dyDescent="0.3">
      <c r="A26" s="18" t="s">
        <v>98</v>
      </c>
      <c r="B26" s="109">
        <f>'[3]2C'!C22</f>
        <v>2300000</v>
      </c>
      <c r="C26" s="110">
        <f>'[3]4'!C14</f>
        <v>144035767</v>
      </c>
      <c r="D26" s="110">
        <f>'[3]4'!D14</f>
        <v>80418749.212499976</v>
      </c>
      <c r="E26" s="110">
        <f>'[3]4'!E14+'[3]4'!H14</f>
        <v>81838332</v>
      </c>
      <c r="F26" s="110">
        <v>0</v>
      </c>
      <c r="G26" s="109">
        <f>'[3]2C'!C30</f>
        <v>6036652</v>
      </c>
      <c r="H26" s="109">
        <f>SUM(B26:G26)</f>
        <v>314629500.21249998</v>
      </c>
      <c r="AMJ26"/>
    </row>
    <row r="27" spans="1:1024" x14ac:dyDescent="0.3">
      <c r="A27" s="18" t="s">
        <v>8</v>
      </c>
      <c r="B27" s="109">
        <f>'[3]2D'!C24</f>
        <v>0</v>
      </c>
      <c r="C27" s="109">
        <v>0</v>
      </c>
      <c r="D27" s="109">
        <f>'[3]4'!D15</f>
        <v>0</v>
      </c>
      <c r="E27" s="109">
        <f>'[3]4'!H15</f>
        <v>32583609</v>
      </c>
      <c r="F27" s="109">
        <v>0</v>
      </c>
      <c r="G27" s="109">
        <f>'[3]2D'!C33</f>
        <v>47367657</v>
      </c>
      <c r="H27" s="109">
        <f>SUM(B27:G27)</f>
        <v>79951266</v>
      </c>
      <c r="AMJ27"/>
    </row>
    <row r="28" spans="1:1024" x14ac:dyDescent="0.3">
      <c r="A28" s="46" t="s">
        <v>81</v>
      </c>
      <c r="B28" s="111">
        <f t="shared" ref="B28:H28" si="2">SUM(B25:B27)</f>
        <v>301700000</v>
      </c>
      <c r="C28" s="111">
        <f t="shared" si="2"/>
        <v>483659197</v>
      </c>
      <c r="D28" s="111">
        <f>SUM(D25:D27)</f>
        <v>152346895.21249998</v>
      </c>
      <c r="E28" s="111">
        <f t="shared" si="2"/>
        <v>248647236.99767983</v>
      </c>
      <c r="F28" s="111">
        <f t="shared" si="2"/>
        <v>24879440</v>
      </c>
      <c r="G28" s="111">
        <f t="shared" si="2"/>
        <v>97931826</v>
      </c>
      <c r="H28" s="111">
        <f t="shared" si="2"/>
        <v>1309164595.2101798</v>
      </c>
      <c r="AMJ28"/>
    </row>
    <row r="29" spans="1:1024" s="54" customFormat="1" ht="15.6" x14ac:dyDescent="0.3">
      <c r="A29" s="42"/>
      <c r="B29" s="112"/>
      <c r="C29" s="112"/>
      <c r="D29" s="112"/>
      <c r="E29" s="112"/>
      <c r="F29" s="112"/>
      <c r="G29" s="112"/>
      <c r="H29" s="112"/>
      <c r="I29" s="7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54" customFormat="1" ht="15.6" x14ac:dyDescent="0.3">
      <c r="A30" s="42"/>
      <c r="B30" s="112"/>
      <c r="C30" s="112"/>
      <c r="D30" s="112"/>
      <c r="E30" s="112"/>
      <c r="F30" s="112"/>
      <c r="G30" s="112"/>
      <c r="H30" s="112"/>
      <c r="I30" s="7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1" spans="1:1024" s="54" customFormat="1" ht="15.6" x14ac:dyDescent="0.3">
      <c r="A31" s="2" t="s">
        <v>103</v>
      </c>
      <c r="B31" s="2" t="s">
        <v>148</v>
      </c>
      <c r="C31" s="1"/>
      <c r="D31" s="1"/>
      <c r="E31" s="1"/>
      <c r="F31" s="1"/>
      <c r="G31" s="1"/>
      <c r="H31" s="1"/>
      <c r="I31" s="7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</row>
    <row r="32" spans="1:1024" s="54" customFormat="1" ht="28.8" x14ac:dyDescent="0.3">
      <c r="A32" s="2" t="s">
        <v>75</v>
      </c>
      <c r="B32" s="42" t="s">
        <v>82</v>
      </c>
      <c r="C32" s="42" t="s">
        <v>59</v>
      </c>
      <c r="D32" s="2" t="s">
        <v>83</v>
      </c>
      <c r="E32" s="42" t="s">
        <v>84</v>
      </c>
      <c r="F32" s="42" t="s">
        <v>85</v>
      </c>
      <c r="G32" s="42" t="s">
        <v>96</v>
      </c>
      <c r="H32" s="42" t="s">
        <v>69</v>
      </c>
      <c r="I32" s="7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</row>
    <row r="33" spans="1:1025" s="54" customFormat="1" ht="15.6" x14ac:dyDescent="0.3">
      <c r="A33" s="45" t="s">
        <v>10</v>
      </c>
      <c r="B33" s="109">
        <v>299400000</v>
      </c>
      <c r="C33" s="110">
        <f>C25</f>
        <v>339623430</v>
      </c>
      <c r="D33" s="110">
        <f>D25</f>
        <v>71928146</v>
      </c>
      <c r="E33" s="109">
        <v>139413360</v>
      </c>
      <c r="F33" s="110">
        <f>F25</f>
        <v>24879440</v>
      </c>
      <c r="G33" s="110">
        <f>G25</f>
        <v>44527517</v>
      </c>
      <c r="H33" s="109">
        <f>SUM(B33:G33)</f>
        <v>919771893</v>
      </c>
      <c r="I33" s="7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</row>
    <row r="34" spans="1:1025" s="54" customFormat="1" ht="15.6" x14ac:dyDescent="0.3">
      <c r="A34" s="18" t="s">
        <v>98</v>
      </c>
      <c r="B34" s="109">
        <v>2300000</v>
      </c>
      <c r="C34" s="110">
        <f>C26+6966000</f>
        <v>151001767</v>
      </c>
      <c r="D34" s="110">
        <f>D26-6966000</f>
        <v>73452749.212499976</v>
      </c>
      <c r="E34" s="110">
        <v>85657392</v>
      </c>
      <c r="F34" s="110">
        <v>0</v>
      </c>
      <c r="G34" s="109">
        <f>G26-308000</f>
        <v>5728652</v>
      </c>
      <c r="H34" s="109">
        <f>SUM(B34:G34)</f>
        <v>318140560.21249998</v>
      </c>
      <c r="I34" s="7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</row>
    <row r="35" spans="1:1025" s="54" customFormat="1" ht="15.6" x14ac:dyDescent="0.3">
      <c r="A35" s="18" t="s">
        <v>8</v>
      </c>
      <c r="B35" s="109">
        <v>210411</v>
      </c>
      <c r="C35" s="109">
        <v>0</v>
      </c>
      <c r="D35" s="109">
        <f>'[3]4'!D24</f>
        <v>0</v>
      </c>
      <c r="E35" s="109">
        <v>23576485</v>
      </c>
      <c r="F35" s="109">
        <v>0</v>
      </c>
      <c r="G35" s="109">
        <v>47367656</v>
      </c>
      <c r="H35" s="109">
        <f>SUM(B35:G35)</f>
        <v>71154552</v>
      </c>
      <c r="I35" s="7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</row>
    <row r="36" spans="1:1025" s="54" customFormat="1" ht="15.6" x14ac:dyDescent="0.3">
      <c r="A36" s="46" t="s">
        <v>81</v>
      </c>
      <c r="B36" s="111">
        <f t="shared" ref="B36:C36" si="3">SUM(B33:B35)</f>
        <v>301910411</v>
      </c>
      <c r="C36" s="111">
        <f t="shared" si="3"/>
        <v>490625197</v>
      </c>
      <c r="D36" s="111">
        <f>SUM(D33:D35)</f>
        <v>145380895.21249998</v>
      </c>
      <c r="E36" s="111">
        <f t="shared" ref="E36:H36" si="4">SUM(E33:E35)</f>
        <v>248647237</v>
      </c>
      <c r="F36" s="111">
        <f t="shared" si="4"/>
        <v>24879440</v>
      </c>
      <c r="G36" s="111">
        <f t="shared" si="4"/>
        <v>97623825</v>
      </c>
      <c r="H36" s="111">
        <f t="shared" si="4"/>
        <v>1309067005.2125001</v>
      </c>
      <c r="I36" s="7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</row>
    <row r="37" spans="1:1025" s="54" customFormat="1" ht="15.6" x14ac:dyDescent="0.3">
      <c r="A37" s="42"/>
      <c r="B37" s="112"/>
      <c r="C37" s="112"/>
      <c r="D37" s="112"/>
      <c r="E37" s="112"/>
      <c r="F37" s="112"/>
      <c r="G37" s="112"/>
      <c r="H37" s="112"/>
      <c r="I37" s="7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</row>
    <row r="38" spans="1:1025" s="54" customFormat="1" ht="15.6" x14ac:dyDescent="0.3">
      <c r="A38" s="42"/>
      <c r="B38" s="112"/>
      <c r="C38" s="112"/>
      <c r="D38" s="112"/>
      <c r="E38" s="112"/>
      <c r="F38" s="112"/>
      <c r="G38" s="112"/>
      <c r="H38" s="112"/>
      <c r="I38" s="7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</row>
    <row r="39" spans="1:1025" s="54" customFormat="1" ht="15.6" x14ac:dyDescent="0.3">
      <c r="A39" s="42" t="s">
        <v>104</v>
      </c>
      <c r="B39" s="112"/>
      <c r="C39" s="112"/>
      <c r="D39" s="112"/>
      <c r="E39" s="112" t="s">
        <v>105</v>
      </c>
      <c r="F39" s="113"/>
      <c r="G39" s="112"/>
      <c r="H39" s="112"/>
      <c r="I39" s="53"/>
      <c r="J39" s="7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</row>
    <row r="40" spans="1:1025" s="54" customFormat="1" ht="57.6" x14ac:dyDescent="0.3">
      <c r="A40" s="2" t="s">
        <v>75</v>
      </c>
      <c r="B40" s="42" t="s">
        <v>147</v>
      </c>
      <c r="C40" s="42" t="s">
        <v>149</v>
      </c>
      <c r="D40" s="112"/>
      <c r="E40" s="2" t="s">
        <v>75</v>
      </c>
      <c r="F40" s="42" t="s">
        <v>151</v>
      </c>
      <c r="G40" s="42" t="s">
        <v>150</v>
      </c>
      <c r="H40" s="112"/>
      <c r="I40" s="1"/>
      <c r="J40" s="7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</row>
    <row r="41" spans="1:1025" s="54" customFormat="1" ht="28.8" x14ac:dyDescent="0.3">
      <c r="A41" s="18" t="s">
        <v>10</v>
      </c>
      <c r="B41" s="109">
        <f>'[3]2B'!C16</f>
        <v>6835855</v>
      </c>
      <c r="C41" s="109">
        <v>6835855</v>
      </c>
      <c r="D41" s="112"/>
      <c r="E41" s="45" t="s">
        <v>10</v>
      </c>
      <c r="F41" s="109">
        <f>'[3]2B'!C30-'[3]5'!G19</f>
        <v>6835855</v>
      </c>
      <c r="G41" s="109">
        <v>6835855</v>
      </c>
      <c r="H41" s="112"/>
      <c r="I41" s="1"/>
      <c r="J41" s="7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</row>
    <row r="42" spans="1:1025" s="54" customFormat="1" ht="28.8" x14ac:dyDescent="0.3">
      <c r="A42" s="18" t="s">
        <v>98</v>
      </c>
      <c r="B42" s="109">
        <f>'[3]2C'!C16</f>
        <v>0</v>
      </c>
      <c r="C42" s="109">
        <v>308000</v>
      </c>
      <c r="D42" s="112"/>
      <c r="E42" s="18" t="s">
        <v>98</v>
      </c>
      <c r="F42" s="109">
        <v>0</v>
      </c>
      <c r="G42" s="109">
        <v>308000</v>
      </c>
      <c r="H42" s="112"/>
      <c r="I42" s="1"/>
      <c r="J42" s="7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</row>
    <row r="43" spans="1:1025" s="54" customFormat="1" ht="72" x14ac:dyDescent="0.3">
      <c r="A43" s="18" t="s">
        <v>8</v>
      </c>
      <c r="B43" s="109">
        <f>'[3]2D'!C17</f>
        <v>0</v>
      </c>
      <c r="C43" s="109">
        <v>1</v>
      </c>
      <c r="D43" s="112"/>
      <c r="E43" s="18" t="s">
        <v>115</v>
      </c>
      <c r="F43" s="109">
        <f>'[3]2D'!C33-'[3]5'!G21+'[3]4'!F15</f>
        <v>0</v>
      </c>
      <c r="G43" s="109">
        <v>1</v>
      </c>
      <c r="H43" s="112"/>
      <c r="I43" s="1"/>
      <c r="J43" s="7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</row>
    <row r="44" spans="1:1025" s="54" customFormat="1" x14ac:dyDescent="0.3">
      <c r="A44" s="43" t="s">
        <v>81</v>
      </c>
      <c r="B44" s="44">
        <f>SUM(B41:B43)</f>
        <v>6835855</v>
      </c>
      <c r="C44" s="44">
        <f>SUM(C41:C43)</f>
        <v>7143856</v>
      </c>
      <c r="D44" s="112"/>
      <c r="E44" s="43" t="s">
        <v>81</v>
      </c>
      <c r="F44" s="114">
        <f>SUM(F41:F43)</f>
        <v>6835855</v>
      </c>
      <c r="G44" s="114">
        <f>SUM(G41:G43)</f>
        <v>7143856</v>
      </c>
      <c r="H44" s="112"/>
      <c r="I44" s="1"/>
      <c r="J44" s="7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</row>
    <row r="45" spans="1:1025" s="54" customFormat="1" ht="15.6" x14ac:dyDescent="0.3">
      <c r="A45" s="42"/>
      <c r="B45" s="112"/>
      <c r="C45" s="112"/>
      <c r="D45" s="112"/>
      <c r="E45" s="112"/>
      <c r="F45" s="112"/>
      <c r="G45" s="112"/>
      <c r="H45" s="112"/>
      <c r="I45" s="7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</row>
    <row r="49" spans="1:1" x14ac:dyDescent="0.3">
      <c r="A49" s="1" t="s">
        <v>119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1_</vt:lpstr>
      <vt:lpstr>2A</vt:lpstr>
      <vt:lpstr>2B</vt:lpstr>
      <vt:lpstr>2C</vt:lpstr>
      <vt:lpstr>2D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Molnárné Nagy Edina</cp:lastModifiedBy>
  <cp:lastPrinted>2019-02-20T07:37:34Z</cp:lastPrinted>
  <dcterms:created xsi:type="dcterms:W3CDTF">2013-02-08T06:54:51Z</dcterms:created>
  <dcterms:modified xsi:type="dcterms:W3CDTF">2020-09-14T20:12:47Z</dcterms:modified>
</cp:coreProperties>
</file>