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Tersegi Tarsulas\Előterjesztések\2020\2020.06.23\4. NP MTT 2019. évi költsgv-i beszámolója\"/>
    </mc:Choice>
  </mc:AlternateContent>
  <bookViews>
    <workbookView xWindow="390" yWindow="1515" windowWidth="7695" windowHeight="1530" firstSheet="6" activeTab="11"/>
  </bookViews>
  <sheets>
    <sheet name="címrend" sheetId="18" r:id="rId1"/>
    <sheet name="összevont ktgvetési mérleg" sheetId="2" r:id="rId2"/>
    <sheet name=" KESZI ktgvetési mérleg" sheetId="3" r:id="rId3"/>
    <sheet name="CSGYK ktgvetési mérleg" sheetId="4" r:id="rId4"/>
    <sheet name="Társulás ktgvetési mérleg" sheetId="5" r:id="rId5"/>
    <sheet name="egyensúly" sheetId="15" r:id="rId6"/>
    <sheet name="Létszámok " sheetId="28" r:id="rId7"/>
    <sheet name="állami" sheetId="25" r:id="rId8"/>
    <sheet name="vagyonmérleg" sheetId="20" r:id="rId9"/>
    <sheet name="eredménykimutatás" sheetId="21" r:id="rId10"/>
    <sheet name="maradványkimutatás" sheetId="22" r:id="rId11"/>
    <sheet name="kiadások" sheetId="23" r:id="rId12"/>
    <sheet name="bevételek" sheetId="24" r:id="rId13"/>
    <sheet name="pénzeszköz átadások" sheetId="26" r:id="rId14"/>
    <sheet name="befizetések" sheetId="27" r:id="rId15"/>
  </sheets>
  <externalReferences>
    <externalReference r:id="rId16"/>
  </externalReferences>
  <definedNames>
    <definedName name="_xlnm.Print_Area" localSheetId="3">'CSGYK ktgvetési mérleg'!$A$1:$G$51</definedName>
  </definedNames>
  <calcPr calcId="162913"/>
</workbook>
</file>

<file path=xl/calcChain.xml><?xml version="1.0" encoding="utf-8"?>
<calcChain xmlns="http://schemas.openxmlformats.org/spreadsheetml/2006/main">
  <c r="E13" i="27" l="1"/>
  <c r="E9" i="27"/>
  <c r="K38" i="4" l="1"/>
  <c r="H31" i="28" l="1"/>
  <c r="G31" i="28"/>
  <c r="C31" i="28"/>
  <c r="H18" i="28"/>
  <c r="G18" i="28"/>
  <c r="F18" i="28"/>
  <c r="E18" i="28"/>
  <c r="D18" i="28"/>
  <c r="C18" i="28"/>
  <c r="B18" i="28"/>
  <c r="B31" i="28" s="1"/>
  <c r="G13" i="28"/>
  <c r="F13" i="28"/>
  <c r="F31" i="28" s="1"/>
  <c r="E13" i="28"/>
  <c r="E31" i="28" s="1"/>
  <c r="D13" i="28"/>
  <c r="D31" i="28" s="1"/>
  <c r="C13" i="28"/>
  <c r="B13" i="28"/>
  <c r="F31" i="27" l="1"/>
  <c r="F30" i="27" l="1"/>
  <c r="F29" i="27"/>
  <c r="E30" i="27"/>
  <c r="E29" i="27"/>
  <c r="D30" i="27"/>
  <c r="D29" i="27"/>
  <c r="E18" i="27"/>
  <c r="I39" i="4"/>
  <c r="E16" i="27"/>
  <c r="H39" i="4"/>
  <c r="E15" i="27"/>
  <c r="D15" i="27"/>
  <c r="D14" i="27"/>
  <c r="E10" i="27" l="1"/>
  <c r="D10" i="27"/>
  <c r="D17" i="27" l="1"/>
  <c r="D26" i="27"/>
  <c r="G34" i="27" s="1"/>
  <c r="E12" i="27"/>
  <c r="F12" i="27" s="1"/>
  <c r="E11" i="27"/>
  <c r="F11" i="27" s="1"/>
  <c r="C12" i="26"/>
  <c r="G30" i="27" l="1"/>
  <c r="F32" i="27"/>
  <c r="E17" i="27"/>
  <c r="F18" i="27" s="1"/>
  <c r="F10" i="27"/>
  <c r="F14" i="27"/>
  <c r="G29" i="27"/>
  <c r="E19" i="27" l="1"/>
  <c r="F19" i="27" s="1"/>
  <c r="F17" i="27"/>
  <c r="C21" i="15"/>
  <c r="I41" i="4"/>
  <c r="H46" i="4"/>
  <c r="H45" i="4"/>
  <c r="H43" i="4"/>
  <c r="H42" i="4"/>
  <c r="H40" i="4"/>
  <c r="E50" i="3"/>
  <c r="E41" i="3"/>
  <c r="F41" i="3" s="1"/>
  <c r="I57" i="3" l="1"/>
  <c r="E40" i="4"/>
  <c r="F36" i="4"/>
  <c r="H14" i="25" l="1"/>
  <c r="F14" i="25"/>
  <c r="E43" i="3" s="1"/>
  <c r="H13" i="25"/>
  <c r="F13" i="25"/>
  <c r="E42" i="3" s="1"/>
  <c r="F42" i="3" s="1"/>
  <c r="H11" i="25"/>
  <c r="E31" i="27" s="1"/>
  <c r="E32" i="27" s="1"/>
  <c r="F11" i="25"/>
  <c r="H9" i="25"/>
  <c r="D31" i="27" s="1"/>
  <c r="G9" i="25"/>
  <c r="F9" i="25"/>
  <c r="J21" i="25"/>
  <c r="F35" i="25"/>
  <c r="F33" i="25"/>
  <c r="G33" i="25" s="1"/>
  <c r="H33" i="25" s="1"/>
  <c r="F31" i="25"/>
  <c r="F29" i="25"/>
  <c r="F28" i="25"/>
  <c r="F26" i="25"/>
  <c r="F25" i="25"/>
  <c r="H17" i="25"/>
  <c r="G17" i="25"/>
  <c r="I17" i="25" s="1"/>
  <c r="F17" i="25"/>
  <c r="E17" i="25"/>
  <c r="G16" i="25"/>
  <c r="F16" i="25" s="1"/>
  <c r="E45" i="3" s="1"/>
  <c r="I16" i="25"/>
  <c r="H16" i="25"/>
  <c r="E16" i="25"/>
  <c r="D32" i="27" l="1"/>
  <c r="G32" i="27" s="1"/>
  <c r="G36" i="27" s="1"/>
  <c r="G31" i="27"/>
  <c r="G14" i="25"/>
  <c r="E15" i="25"/>
  <c r="F15" i="25" s="1"/>
  <c r="G15" i="25" s="1"/>
  <c r="E14" i="25"/>
  <c r="G13" i="25"/>
  <c r="E13" i="25"/>
  <c r="G12" i="25"/>
  <c r="I12" i="25" s="1"/>
  <c r="E12" i="25"/>
  <c r="G11" i="25"/>
  <c r="E40" i="3" s="1"/>
  <c r="F40" i="3" s="1"/>
  <c r="E11" i="25"/>
  <c r="F10" i="25"/>
  <c r="G10" i="25" s="1"/>
  <c r="H10" i="25" s="1"/>
  <c r="I10" i="25" s="1"/>
  <c r="D9" i="25"/>
  <c r="I9" i="25"/>
  <c r="I11" i="25"/>
  <c r="I13" i="25"/>
  <c r="I14" i="25"/>
  <c r="I18" i="25"/>
  <c r="I19" i="25"/>
  <c r="F20" i="25"/>
  <c r="G25" i="25"/>
  <c r="H25" i="25" s="1"/>
  <c r="G26" i="25"/>
  <c r="G28" i="25"/>
  <c r="G29" i="25"/>
  <c r="H29" i="25" s="1"/>
  <c r="G31" i="25"/>
  <c r="G35" i="25"/>
  <c r="H35" i="25" s="1"/>
  <c r="G22" i="15"/>
  <c r="E20" i="25" l="1"/>
  <c r="H15" i="25"/>
  <c r="I15" i="25" s="1"/>
  <c r="I20" i="25" s="1"/>
  <c r="I22" i="25" s="1"/>
  <c r="G20" i="25"/>
  <c r="G36" i="25" s="1"/>
  <c r="H20" i="25"/>
  <c r="H28" i="25"/>
  <c r="I29" i="25"/>
  <c r="H31" i="25"/>
  <c r="H26" i="25"/>
  <c r="I25" i="25" s="1"/>
  <c r="I26" i="25"/>
  <c r="F36" i="25"/>
  <c r="H36" i="25" l="1"/>
  <c r="I28" i="25"/>
  <c r="E29" i="15" l="1"/>
  <c r="N30" i="2"/>
  <c r="N14" i="2"/>
  <c r="O34" i="2"/>
  <c r="P34" i="2"/>
  <c r="N34" i="2"/>
  <c r="O28" i="2"/>
  <c r="P28" i="2"/>
  <c r="N28" i="2"/>
  <c r="O20" i="2"/>
  <c r="O25" i="2"/>
  <c r="O26" i="2"/>
  <c r="N26" i="2"/>
  <c r="P25" i="2"/>
  <c r="N25" i="2"/>
  <c r="N20" i="2"/>
  <c r="P18" i="2"/>
  <c r="N18" i="2"/>
  <c r="P15" i="2"/>
  <c r="N15" i="2"/>
  <c r="P13" i="2"/>
  <c r="P12" i="2"/>
  <c r="P11" i="2"/>
  <c r="N13" i="2"/>
  <c r="N12" i="2"/>
  <c r="N11" i="2"/>
  <c r="G34" i="5"/>
  <c r="G33" i="5"/>
  <c r="G32" i="5"/>
  <c r="G28" i="5"/>
  <c r="G26" i="5"/>
  <c r="G24" i="5"/>
  <c r="G22" i="5"/>
  <c r="G21" i="5"/>
  <c r="G20" i="5"/>
  <c r="G18" i="5"/>
  <c r="G17" i="5"/>
  <c r="G15" i="5"/>
  <c r="G14" i="5"/>
  <c r="G13" i="5"/>
  <c r="G12" i="5"/>
  <c r="F34" i="5"/>
  <c r="F28" i="5"/>
  <c r="F32" i="5"/>
  <c r="F22" i="5" l="1"/>
  <c r="F20" i="5"/>
  <c r="F18" i="5"/>
  <c r="F15" i="5"/>
  <c r="B29" i="15" l="1"/>
  <c r="B22" i="15"/>
  <c r="E28" i="15"/>
  <c r="B28" i="15"/>
  <c r="D21" i="15"/>
  <c r="B21" i="15"/>
  <c r="E20" i="15"/>
  <c r="E27" i="15"/>
  <c r="G20" i="15"/>
  <c r="B27" i="15"/>
  <c r="F20" i="15"/>
  <c r="D20" i="15"/>
  <c r="B20" i="15"/>
  <c r="G14" i="15"/>
  <c r="F14" i="15"/>
  <c r="D14" i="15"/>
  <c r="C14" i="15"/>
  <c r="B14" i="15"/>
  <c r="G13" i="15"/>
  <c r="E13" i="15"/>
  <c r="D13" i="15"/>
  <c r="C13" i="15"/>
  <c r="B13" i="15"/>
  <c r="G12" i="15"/>
  <c r="E12" i="15"/>
  <c r="D12" i="15"/>
  <c r="C12" i="15"/>
  <c r="B12" i="15"/>
  <c r="H41" i="4" l="1"/>
  <c r="F40" i="4"/>
  <c r="E21" i="15" s="1"/>
  <c r="E48" i="3"/>
  <c r="E60" i="3"/>
  <c r="F60" i="3" l="1"/>
  <c r="F59" i="3"/>
  <c r="I55" i="3"/>
  <c r="I52" i="3"/>
  <c r="F58" i="3" l="1"/>
  <c r="F41" i="4"/>
  <c r="E41" i="4"/>
  <c r="E44" i="3"/>
  <c r="C20" i="15" s="1"/>
  <c r="F38" i="4"/>
  <c r="E38" i="4" s="1"/>
  <c r="E47" i="3"/>
  <c r="E46" i="3"/>
  <c r="E36" i="4" l="1"/>
  <c r="F45" i="4"/>
  <c r="G31" i="4"/>
  <c r="G28" i="4"/>
  <c r="G26" i="4"/>
  <c r="G23" i="4"/>
  <c r="G22" i="4"/>
  <c r="F30" i="4"/>
  <c r="G18" i="4"/>
  <c r="G15" i="4"/>
  <c r="G14" i="4"/>
  <c r="G13" i="4"/>
  <c r="G12" i="4"/>
  <c r="F17" i="4"/>
  <c r="F19" i="4" s="1"/>
  <c r="F57" i="3"/>
  <c r="F56" i="3"/>
  <c r="F55" i="3"/>
  <c r="F54" i="3"/>
  <c r="F53" i="3"/>
  <c r="F52" i="3"/>
  <c r="F51" i="3"/>
  <c r="F50" i="3"/>
  <c r="F49" i="3"/>
  <c r="F48" i="3"/>
  <c r="F39" i="4" s="1"/>
  <c r="F47" i="3"/>
  <c r="F46" i="3"/>
  <c r="F45" i="3"/>
  <c r="F44" i="3"/>
  <c r="F43" i="3"/>
  <c r="E61" i="3"/>
  <c r="E62" i="3" s="1"/>
  <c r="G35" i="3"/>
  <c r="G34" i="3"/>
  <c r="G33" i="3"/>
  <c r="G32" i="3"/>
  <c r="G30" i="3"/>
  <c r="G28" i="3"/>
  <c r="G25" i="3"/>
  <c r="G24" i="3"/>
  <c r="F35" i="3"/>
  <c r="F32" i="3"/>
  <c r="G22" i="3"/>
  <c r="G21" i="3"/>
  <c r="G20" i="3"/>
  <c r="G19" i="3"/>
  <c r="G17" i="3"/>
  <c r="G15" i="3"/>
  <c r="G14" i="3"/>
  <c r="G13" i="3"/>
  <c r="G12" i="3"/>
  <c r="F22" i="3"/>
  <c r="F20" i="3"/>
  <c r="F17" i="3"/>
  <c r="F29" i="5" l="1"/>
  <c r="N31" i="2" s="1"/>
  <c r="I42" i="4"/>
  <c r="F20" i="4"/>
  <c r="F32" i="4"/>
  <c r="F61" i="3"/>
  <c r="O31" i="2" l="1"/>
  <c r="E29" i="5"/>
  <c r="G29" i="5" s="1"/>
  <c r="P33" i="2"/>
  <c r="P32" i="2"/>
  <c r="O32" i="2" s="1"/>
  <c r="O29" i="2"/>
  <c r="P27" i="2"/>
  <c r="N27" i="2"/>
  <c r="N22" i="2"/>
  <c r="P21" i="2"/>
  <c r="P23" i="2" s="1"/>
  <c r="O19" i="2"/>
  <c r="O18" i="2"/>
  <c r="O16" i="2"/>
  <c r="O15" i="2"/>
  <c r="O14" i="2"/>
  <c r="O13" i="2"/>
  <c r="O12" i="2"/>
  <c r="O27" i="2" l="1"/>
  <c r="N21" i="2"/>
  <c r="N23" i="2" s="1"/>
  <c r="N33" i="2"/>
  <c r="N35" i="2" s="1"/>
  <c r="O11" i="2"/>
  <c r="O21" i="2" s="1"/>
  <c r="O23" i="2" s="1"/>
  <c r="P35" i="2"/>
  <c r="O30" i="2"/>
  <c r="O33" i="2" s="1"/>
  <c r="O35" i="2" s="1"/>
  <c r="M33" i="2"/>
  <c r="K25" i="2"/>
  <c r="K34" i="2"/>
  <c r="M34" i="2" s="1"/>
  <c r="K30" i="2"/>
  <c r="L30" i="2" s="1"/>
  <c r="L33" i="2" s="1"/>
  <c r="K28" i="2"/>
  <c r="K26" i="2"/>
  <c r="K22" i="2"/>
  <c r="K20" i="2"/>
  <c r="K14" i="2"/>
  <c r="L14" i="2" s="1"/>
  <c r="K13" i="2"/>
  <c r="L13" i="2" s="1"/>
  <c r="K12" i="2"/>
  <c r="L12" i="2" s="1"/>
  <c r="K11" i="2"/>
  <c r="L11" i="2" s="1"/>
  <c r="L16" i="2"/>
  <c r="L19" i="2"/>
  <c r="M21" i="2"/>
  <c r="M23" i="2" s="1"/>
  <c r="K27" i="2"/>
  <c r="M27" i="2"/>
  <c r="L29" i="2"/>
  <c r="M32" i="2"/>
  <c r="L32" i="2" s="1"/>
  <c r="L27" i="2" l="1"/>
  <c r="M35" i="2"/>
  <c r="K33" i="2"/>
  <c r="K35" i="2" s="1"/>
  <c r="L35" i="2"/>
  <c r="E49" i="3" l="1"/>
  <c r="E32" i="3"/>
  <c r="E35" i="3" s="1"/>
  <c r="E17" i="3"/>
  <c r="E20" i="3" l="1"/>
  <c r="E22" i="3" s="1"/>
  <c r="E30" i="4" l="1"/>
  <c r="E17" i="4"/>
  <c r="E19" i="4" s="1"/>
  <c r="E15" i="5"/>
  <c r="K15" i="2" s="1"/>
  <c r="L15" i="2" s="1"/>
  <c r="E18" i="5"/>
  <c r="E32" i="5"/>
  <c r="E34" i="5" s="1"/>
  <c r="E20" i="5" l="1"/>
  <c r="E22" i="5" s="1"/>
  <c r="E20" i="4"/>
  <c r="G20" i="4" s="1"/>
  <c r="G19" i="4"/>
  <c r="G17" i="4"/>
  <c r="K18" i="2"/>
  <c r="E32" i="4"/>
  <c r="G32" i="4" s="1"/>
  <c r="G30" i="4"/>
  <c r="L18" i="2" l="1"/>
  <c r="L21" i="2" s="1"/>
  <c r="L23" i="2" s="1"/>
  <c r="K21" i="2"/>
  <c r="K23" i="2" s="1"/>
  <c r="D29" i="5" l="1"/>
  <c r="J34" i="2"/>
  <c r="I34" i="2"/>
  <c r="H31" i="2"/>
  <c r="H34" i="2" l="1"/>
  <c r="H28" i="2"/>
  <c r="J25" i="2"/>
  <c r="H25" i="2"/>
  <c r="J22" i="2"/>
  <c r="I22" i="2"/>
  <c r="H22" i="2"/>
  <c r="H20" i="2"/>
  <c r="H14" i="2"/>
  <c r="I14" i="2" s="1"/>
  <c r="H13" i="2"/>
  <c r="I13" i="2" s="1"/>
  <c r="H12" i="2"/>
  <c r="I12" i="2" s="1"/>
  <c r="H11" i="2"/>
  <c r="I11" i="2" s="1"/>
  <c r="J32" i="2"/>
  <c r="I32" i="2" s="1"/>
  <c r="I31" i="2"/>
  <c r="I29" i="2"/>
  <c r="J27" i="2"/>
  <c r="H27" i="2"/>
  <c r="I19" i="2"/>
  <c r="H16" i="2"/>
  <c r="I16" i="2" s="1"/>
  <c r="D54" i="3"/>
  <c r="E54" i="3" s="1"/>
  <c r="D45" i="3"/>
  <c r="D53" i="3"/>
  <c r="E53" i="3" s="1"/>
  <c r="D52" i="3"/>
  <c r="D51" i="3"/>
  <c r="E51" i="3" s="1"/>
  <c r="D28" i="3"/>
  <c r="D32" i="3" s="1"/>
  <c r="D35" i="3" s="1"/>
  <c r="D17" i="3"/>
  <c r="D44" i="4"/>
  <c r="E44" i="4" s="1"/>
  <c r="F44" i="4" s="1"/>
  <c r="D42" i="4"/>
  <c r="E42" i="4" s="1"/>
  <c r="D43" i="4"/>
  <c r="E43" i="4" s="1"/>
  <c r="F43" i="4" s="1"/>
  <c r="D26" i="4"/>
  <c r="D17" i="4"/>
  <c r="D15" i="5"/>
  <c r="H15" i="2" s="1"/>
  <c r="I15" i="2" s="1"/>
  <c r="D18" i="5"/>
  <c r="D32" i="5"/>
  <c r="D34" i="5" s="1"/>
  <c r="F42" i="4" l="1"/>
  <c r="E47" i="4"/>
  <c r="D61" i="3"/>
  <c r="D30" i="4"/>
  <c r="H18" i="2"/>
  <c r="J18" i="2"/>
  <c r="J21" i="2" s="1"/>
  <c r="J23" i="2" s="1"/>
  <c r="D20" i="3"/>
  <c r="D22" i="3" s="1"/>
  <c r="D47" i="4"/>
  <c r="J33" i="2"/>
  <c r="J35" i="2" s="1"/>
  <c r="D19" i="4"/>
  <c r="I27" i="2"/>
  <c r="H30" i="2"/>
  <c r="H33" i="2" s="1"/>
  <c r="H35" i="2" s="1"/>
  <c r="H21" i="2"/>
  <c r="H23" i="2" s="1"/>
  <c r="D20" i="5"/>
  <c r="D22" i="5" s="1"/>
  <c r="C39" i="4"/>
  <c r="C36" i="4"/>
  <c r="C46" i="3"/>
  <c r="C47" i="3"/>
  <c r="D32" i="4" l="1"/>
  <c r="I18" i="2"/>
  <c r="I21" i="2" s="1"/>
  <c r="I23" i="2" s="1"/>
  <c r="I30" i="2"/>
  <c r="D20" i="4"/>
  <c r="C45" i="3"/>
  <c r="C44" i="3"/>
  <c r="C42" i="3"/>
  <c r="I33" i="2" l="1"/>
  <c r="I35" i="2" l="1"/>
  <c r="E20" i="2" l="1"/>
  <c r="C15" i="5" l="1"/>
  <c r="C18" i="5" l="1"/>
  <c r="B18" i="5"/>
  <c r="C50" i="3"/>
  <c r="C41" i="3"/>
  <c r="C40" i="3"/>
  <c r="C48" i="3"/>
  <c r="C55" i="3"/>
  <c r="C47" i="4" l="1"/>
  <c r="B41" i="4" l="1"/>
  <c r="B38" i="4"/>
  <c r="B36" i="4"/>
  <c r="C17" i="4"/>
  <c r="B17" i="4"/>
  <c r="C17" i="3"/>
  <c r="B17" i="3"/>
  <c r="B49" i="3"/>
  <c r="C49" i="3" s="1"/>
  <c r="B43" i="3"/>
  <c r="C43" i="3" s="1"/>
  <c r="C19" i="4" l="1"/>
  <c r="B61" i="3"/>
  <c r="B47" i="4"/>
  <c r="C61" i="3" l="1"/>
  <c r="H22" i="15" l="1"/>
  <c r="H21" i="15"/>
  <c r="G23" i="15"/>
  <c r="F23" i="15"/>
  <c r="D23" i="15"/>
  <c r="C23" i="15"/>
  <c r="G15" i="15"/>
  <c r="F15" i="15"/>
  <c r="D15" i="15"/>
  <c r="H14" i="15"/>
  <c r="H13" i="15"/>
  <c r="E15" i="15"/>
  <c r="C15" i="15"/>
  <c r="B15" i="15"/>
  <c r="H20" i="15" l="1"/>
  <c r="E23" i="15"/>
  <c r="B23" i="15"/>
  <c r="H12" i="15"/>
  <c r="H15" i="15" s="1"/>
  <c r="H23" i="15" l="1"/>
  <c r="E30" i="15"/>
  <c r="B30" i="15"/>
  <c r="G25" i="2" l="1"/>
  <c r="G13" i="2"/>
  <c r="D28" i="2" l="1"/>
  <c r="C25" i="2"/>
  <c r="D25" i="2"/>
  <c r="D18" i="2"/>
  <c r="C18" i="2"/>
  <c r="D13" i="2"/>
  <c r="B30" i="2"/>
  <c r="C20" i="3" l="1"/>
  <c r="B20" i="3"/>
  <c r="E34" i="2" l="1"/>
  <c r="E30" i="2"/>
  <c r="E28" i="2"/>
  <c r="E25" i="2"/>
  <c r="B34" i="2" l="1"/>
  <c r="B28" i="2"/>
  <c r="B25" i="2"/>
  <c r="G18" i="2"/>
  <c r="E22" i="2"/>
  <c r="E18" i="2"/>
  <c r="E15" i="2"/>
  <c r="E14" i="2"/>
  <c r="F14" i="2" s="1"/>
  <c r="E13" i="2"/>
  <c r="E12" i="2"/>
  <c r="E11" i="2"/>
  <c r="B12" i="2"/>
  <c r="B18" i="2"/>
  <c r="B14" i="2"/>
  <c r="B13" i="2"/>
  <c r="C13" i="2" s="1"/>
  <c r="D12" i="2"/>
  <c r="D11" i="2"/>
  <c r="B11" i="2"/>
  <c r="B21" i="2" l="1"/>
  <c r="C32" i="5"/>
  <c r="C34" i="5" s="1"/>
  <c r="B32" i="5"/>
  <c r="C20" i="5"/>
  <c r="C22" i="5" s="1"/>
  <c r="B20" i="5"/>
  <c r="C30" i="4"/>
  <c r="B30" i="4"/>
  <c r="B32" i="4" s="1"/>
  <c r="C20" i="4"/>
  <c r="B19" i="4"/>
  <c r="C32" i="3"/>
  <c r="B32" i="3"/>
  <c r="B35" i="3" s="1"/>
  <c r="C22" i="3"/>
  <c r="B22" i="3"/>
  <c r="G32" i="2"/>
  <c r="F32" i="2" s="1"/>
  <c r="B32" i="2"/>
  <c r="C32" i="2" s="1"/>
  <c r="F30" i="2"/>
  <c r="F29" i="2"/>
  <c r="C29" i="2"/>
  <c r="D33" i="2"/>
  <c r="D35" i="2" s="1"/>
  <c r="G27" i="2"/>
  <c r="E27" i="2"/>
  <c r="B27" i="2"/>
  <c r="C27" i="2" s="1"/>
  <c r="G33" i="2"/>
  <c r="G35" i="2" s="1"/>
  <c r="B33" i="2"/>
  <c r="B35" i="2" s="1"/>
  <c r="F19" i="2"/>
  <c r="C19" i="2"/>
  <c r="F18" i="2"/>
  <c r="E16" i="2"/>
  <c r="F16" i="2" s="1"/>
  <c r="G15" i="2"/>
  <c r="F15" i="2" s="1"/>
  <c r="C14" i="2"/>
  <c r="F13" i="2"/>
  <c r="G12" i="2"/>
  <c r="F12" i="2" s="1"/>
  <c r="D21" i="2"/>
  <c r="D23" i="2" s="1"/>
  <c r="C12" i="2"/>
  <c r="G11" i="2"/>
  <c r="C32" i="4" l="1"/>
  <c r="B20" i="4"/>
  <c r="B34" i="5"/>
  <c r="B22" i="5"/>
  <c r="F11" i="2"/>
  <c r="F21" i="2" s="1"/>
  <c r="G21" i="2"/>
  <c r="G23" i="2" s="1"/>
  <c r="C35" i="3"/>
  <c r="F27" i="2"/>
  <c r="E21" i="2"/>
  <c r="E23" i="2" s="1"/>
  <c r="C33" i="2"/>
  <c r="C35" i="2" s="1"/>
  <c r="B23" i="2"/>
  <c r="F33" i="2"/>
  <c r="F35" i="2" s="1"/>
  <c r="C11" i="2"/>
  <c r="C21" i="2" s="1"/>
  <c r="E33" i="2"/>
  <c r="E35" i="2" s="1"/>
  <c r="F31" i="2"/>
  <c r="C23" i="2" l="1"/>
  <c r="F23" i="2"/>
  <c r="F46" i="4"/>
  <c r="F47" i="4" l="1"/>
</calcChain>
</file>

<file path=xl/sharedStrings.xml><?xml version="1.0" encoding="utf-8"?>
<sst xmlns="http://schemas.openxmlformats.org/spreadsheetml/2006/main" count="1574" uniqueCount="634">
  <si>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</si>
  <si>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</si>
  <si>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</si>
  <si>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</si>
  <si>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</si>
  <si>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</si>
  <si>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</si>
  <si>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</si>
  <si>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</si>
  <si>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</si>
  <si>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</si>
  <si>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PÉNZFORGALMI MÉRLEG</t>
  </si>
  <si>
    <t>kötelező</t>
  </si>
  <si>
    <t>önként</t>
  </si>
  <si>
    <t>eredeti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</si>
  <si>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</si>
  <si>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</si>
  <si>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</si>
  <si>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</si>
  <si>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</si>
  <si>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</si>
  <si>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</si>
  <si>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</si>
  <si>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</si>
  <si>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</si>
  <si>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</si>
  <si>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</si>
  <si>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</si>
  <si>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</si>
  <si>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</si>
  <si>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</si>
  <si>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</si>
  <si>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</si>
  <si>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</si>
  <si>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</si>
  <si>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</si>
  <si>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</si>
  <si>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</si>
  <si>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</si>
  <si>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</si>
  <si>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</si>
  <si>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</si>
  <si>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</si>
  <si>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</si>
  <si>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</si>
  <si>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</si>
  <si>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</si>
  <si>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</si>
  <si>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Felügyeleti szervtől átvett támogatás</t>
  </si>
  <si>
    <t>Összesen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</si>
  <si>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</si>
  <si>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</si>
  <si>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</si>
  <si>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</si>
  <si>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</si>
  <si>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</si>
  <si>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</si>
  <si>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</si>
  <si>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</si>
  <si>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</si>
  <si>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Feladatfinanszírozás</t>
  </si>
  <si>
    <t>Összesen:</t>
  </si>
  <si>
    <t>Kistérségi Egyesített Szociális Intézet</t>
  </si>
  <si>
    <t>és felügyelete alá tartozó költségvetési szerv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</si>
  <si>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</si>
  <si>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</si>
  <si>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</si>
  <si>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</si>
  <si>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</si>
  <si>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</si>
  <si>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</si>
  <si>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</si>
  <si>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</si>
  <si>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</si>
  <si>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módosított</t>
  </si>
  <si>
    <t>Maradvány felhasználás</t>
  </si>
  <si>
    <t>Ellátottak pénzbeli juttatásai</t>
  </si>
  <si>
    <t>Elvonások és befizetések</t>
  </si>
  <si>
    <t>Felhalmozási célú pénzeszköz átadás</t>
  </si>
  <si>
    <t>Kiadások és Bevételek működési egyensúlya</t>
  </si>
  <si>
    <t>Család és Gyermekjóléti Központ</t>
  </si>
  <si>
    <t>adatok: fő-ben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</si>
  <si>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</si>
  <si>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</si>
  <si>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</si>
  <si>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</si>
  <si>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</si>
  <si>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</si>
  <si>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GYÁÓ bértámogatás és intézményüzemeltetési támogatás</t>
  </si>
  <si>
    <t>Család- és Gyermekjóléti Központ</t>
  </si>
  <si>
    <t>Egyéb működési célú kiadások</t>
  </si>
  <si>
    <t>Intézményi hiány gesztor önkormányzat támogatásával való kifinanszírozása</t>
  </si>
  <si>
    <t>Térségi Társulástól érkező támogatás hozzájárulások*</t>
  </si>
  <si>
    <t>Jelzőrendszer és fejlesztő támogatás átvétele</t>
  </si>
  <si>
    <t>Beszedett pótlólagos hozzájárulásból intézményre osztott**</t>
  </si>
  <si>
    <t>2018. január 1.</t>
  </si>
  <si>
    <t>Óvodai és iskolai szociális segítő tevékenység  (2018. szeptember 1-jétől)</t>
  </si>
  <si>
    <t>Mosonmagyaróvár Térségi Társulás (projektekhez kapcsolódó megbízási díj került betervezésre, állandó létszámhely nincs</t>
  </si>
  <si>
    <t>Bérkompenzáció</t>
  </si>
  <si>
    <t>Maradvány miatti korrekció</t>
  </si>
  <si>
    <t>adatok  Ft-ban</t>
  </si>
  <si>
    <t>Felhalmozási kiadások  Ft eredeti</t>
  </si>
  <si>
    <t>Felhalmozási bevételek  Ft eredeti</t>
  </si>
  <si>
    <t>Módosított</t>
  </si>
  <si>
    <t>Maradvány felhasználás/ támogatás (módosított)</t>
  </si>
  <si>
    <t>Működési bevételek Ft módosított</t>
  </si>
  <si>
    <t xml:space="preserve"> előirányzat 2019.</t>
  </si>
  <si>
    <t>előirányzat 2019.07.31</t>
  </si>
  <si>
    <t>előirányzat 2019.</t>
  </si>
  <si>
    <t>2019. január 1.</t>
  </si>
  <si>
    <t>Éjjeli menedékhely</t>
  </si>
  <si>
    <t>2019. július 31.</t>
  </si>
  <si>
    <t>Óvodai és iskolai szociális segítő tevékenység</t>
  </si>
  <si>
    <t>*Az intézmény finanszírozásába mint bevétel beszámítási kerül a gyermekjóléti szolgálatra fizetendő hozzájárulás üzemeltetési támogatás szerinti létszámarányos része.</t>
  </si>
  <si>
    <t>2019.07.31-i állapot szerint</t>
  </si>
  <si>
    <t>Szociális ágazati összevont pótlék</t>
  </si>
  <si>
    <t>Egészségügyi kiegészítő pótlék</t>
  </si>
  <si>
    <t>Jubileumi jutalom és felmentési bér</t>
  </si>
  <si>
    <t>2018. évi állami támogatás visszafizetése miatti korrekció</t>
  </si>
  <si>
    <t>Irányító szervi támogatás részletezése 2019. év           Ft-ban</t>
  </si>
  <si>
    <t>Irányító szervi támogatás részletezése 2019. év         Ft-ban</t>
  </si>
  <si>
    <t>Közfoglalkoz-   tatottak átlagos létszáma</t>
  </si>
  <si>
    <t xml:space="preserve">2019. év </t>
  </si>
  <si>
    <t>2019. szeptember 30.</t>
  </si>
  <si>
    <t>előirányzat 2019.09.30</t>
  </si>
  <si>
    <t>2019.09.30-i állapot szerint</t>
  </si>
  <si>
    <t>Intézmény üzemeltetési támogatás</t>
  </si>
  <si>
    <t>2019.december 31.</t>
  </si>
  <si>
    <t>Mosonmagyaróvár, 2020. február 10.</t>
  </si>
  <si>
    <t>előirányzat 2019.12.31</t>
  </si>
  <si>
    <t>Működési célú átvett pénzeszközök</t>
  </si>
  <si>
    <t>November hónapban fizetett szociális napi jutalmak munkaadói és munkavállalói járulékok, adók kifinanszírozása</t>
  </si>
  <si>
    <t>Jubileumi jutalom, felmentési bér</t>
  </si>
  <si>
    <t>2019. évi költségvetés végrehajtásáról szóló</t>
  </si>
  <si>
    <t>…/2020. (….) TT határozat</t>
  </si>
  <si>
    <t>2019. ÉVI KÖLTSÉGVETÉS VÉGREHAJTÁSA</t>
  </si>
  <si>
    <t>teljesítés</t>
  </si>
  <si>
    <t>2019. ÉVI KÖLTSÉGVETÉS VÉGREHAJTÁSA KISTÉRSÉGI EGYESÍTETT SZOCIÁLIS INTÉZMÉNY</t>
  </si>
  <si>
    <t xml:space="preserve">teljesítés </t>
  </si>
  <si>
    <t>aránya módosított ei. képest %</t>
  </si>
  <si>
    <t>2019.12.31 teljesítés</t>
  </si>
  <si>
    <t>2019. évi eredeti előirányzat</t>
  </si>
  <si>
    <t>2019.12.31-i módosított előirányzat</t>
  </si>
  <si>
    <t>Mosonmagyaróvár, 2020. április</t>
  </si>
  <si>
    <t>2019. ÉVI KÖLTSÉGVETÉS VÉGREHAJTÁSA CSALÁD ÉS GYERMEKJÓLÉTI KÖZPONT</t>
  </si>
  <si>
    <t>teljesítés aránya módosított ei. képest %</t>
  </si>
  <si>
    <t>2019. év eredeti</t>
  </si>
  <si>
    <t>2019.12.31-i módosított</t>
  </si>
  <si>
    <t>teljesítés 2019.12.31</t>
  </si>
  <si>
    <t>Család és gyermekjóléti szolgálat támogatása</t>
  </si>
  <si>
    <t>Család és gyermekjóléti központ támogatása</t>
  </si>
  <si>
    <t>felosztandó</t>
  </si>
  <si>
    <t>CSGYK</t>
  </si>
  <si>
    <t>hozzájárulás</t>
  </si>
  <si>
    <t>ebből Bezenye nem fizette meg</t>
  </si>
  <si>
    <t>Hajléktalanok ellátásra kapott külön állami támogatás (Nappali melegedő meghosszabbított nyitvatartására)</t>
  </si>
  <si>
    <t>Hajléktalan szálló kiegészítő fejlesztési támogatás</t>
  </si>
  <si>
    <t>Maradvány és túlfinanszírozás miatti rendezés</t>
  </si>
  <si>
    <t>Felújítási Alapból finanszírozott kiadások  (zsírófogó)</t>
  </si>
  <si>
    <t>2019. ÉVI KÖLTSÉGVETÉS VÉGREHAJTÁSA TÁRSULÁS</t>
  </si>
  <si>
    <t>Működési kiadások  Ft teljesítés</t>
  </si>
  <si>
    <t>2019. ÉVI KÖLTSÉGVETÉSI HATÁROZAT VÉGREHAJTÁSA</t>
  </si>
  <si>
    <t>MÖK hiányfinanszírozás</t>
  </si>
  <si>
    <t>Egyéb támogatás értékű műk. Bevétel (tagdíjak, hozzájárulások valamennyi tag esetén)</t>
  </si>
  <si>
    <t>Kistérségi Egyesített Szociális Intézmény maradvány forrás 14.700.012 Ft, felújítási alapból: 1.994.343 Ft. Hajléktalanok ellátásra kapott külön állami támogatás (Nappali melegedő meghosszabbított nyitvatartására) 5.032.950 Ft, valamint Hajléktalan szálló kiegészítő fejlesztési támogatás 5.830.239 Ft</t>
  </si>
  <si>
    <t>Család és Gyermekjóléti Központ maradvány forrásból 3.069.484 Ft, állami támogatás terhére 13.014.318 Ft</t>
  </si>
  <si>
    <t>Mosonmagyaróvár Térségi Társulás (maradványfelhasználás, pályázati tartalék támogatások), valamint fejlesztési célú péneszköz átvétel</t>
  </si>
  <si>
    <t>2019. évi költségvetéséről szóló határozat végrehajtása</t>
  </si>
  <si>
    <t>Költségvetési engedélyzett létszámhely, záró átlagos statisztikai létszám</t>
  </si>
  <si>
    <t xml:space="preserve">záró </t>
  </si>
  <si>
    <t>átlagos statisztikai létszám</t>
  </si>
  <si>
    <t>ÉS IRÁNYÍTÁSA ALÁ TARTOZÓ INTÉZMÉNYEK</t>
  </si>
  <si>
    <t xml:space="preserve">2019. ÉVI KÖLTSÉGVETÉS VÉGREHAJTÁSA </t>
  </si>
  <si>
    <t>VAGYONMÉRLEG</t>
  </si>
  <si>
    <t>ÖSSZEVONT VAGYONMÉRLEG</t>
  </si>
  <si>
    <t>TÉRSÉGI TÁRSULÁS VAGYONMÉRLEG</t>
  </si>
  <si>
    <t>Mérleg</t>
  </si>
  <si>
    <t xml:space="preserve"> Mérleg</t>
  </si>
  <si>
    <t>#</t>
  </si>
  <si>
    <t>Előző időszak</t>
  </si>
  <si>
    <t>Tárgyi időszak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</si>
  <si>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</si>
  <si>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</si>
  <si>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</si>
  <si>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</si>
  <si>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</si>
  <si>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</si>
  <si>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</si>
  <si>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</si>
  <si>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28</t>
  </si>
  <si>
    <t>A) NEMZETI VAGYONBA TARTOZÓ BEFEKTETETT ESZKÖZÖK (=A/I+A/II+A/III+A/IV)</t>
  </si>
  <si>
    <t>34</t>
  </si>
  <si>
    <t>B/I Készletek (=B/I/1+…+B/I/5)</t>
  </si>
  <si>
    <t>51</t>
  </si>
  <si>
    <t>C/III/1 Kincstáron kívüli forintszámlák</t>
  </si>
  <si>
    <t>43</t>
  </si>
  <si>
    <t>B) NEMZETI VAGYONBA TARTOZÓ FORGÓESZKÖZÖK (= B/I+B/II)</t>
  </si>
  <si>
    <t>52</t>
  </si>
  <si>
    <t>C/III/2 Kincstárban vezetett forintszámlák</t>
  </si>
  <si>
    <t>50</t>
  </si>
  <si>
    <t>C/II Pénztárak, csekkek, betétkönyvek (=C/II/1+C/II/2+C/II/3)</t>
  </si>
  <si>
    <t>53</t>
  </si>
  <si>
    <t>C/III Forintszámlák (=C/III/1+C/III/2)</t>
  </si>
  <si>
    <t>57</t>
  </si>
  <si>
    <t>C) PÉNZESZKÖZÖK (=C/I+…+C/IV)</t>
  </si>
  <si>
    <t>101</t>
  </si>
  <si>
    <t>D/I Költségvetési évben esedékes követelések (=D/I/1+…+D/I/8)</t>
  </si>
  <si>
    <t>159</t>
  </si>
  <si>
    <t>D) KÖVETELÉSEK  (=D/I+D/II+D/III)</t>
  </si>
  <si>
    <t>161</t>
  </si>
  <si>
    <t>E/I/2 Más előzetesen felszámított levonható általános forgalmi adó</t>
  </si>
  <si>
    <t>164</t>
  </si>
  <si>
    <t>E/I Előzetesen felszámított általános forgalmi adó elszámolása (=E/I/1+…+E/I/4)</t>
  </si>
  <si>
    <t>158</t>
  </si>
  <si>
    <t>D/III Követelés jellegű sajátos elszámolások (=D/III/1+…+D/III/9)</t>
  </si>
  <si>
    <t>166</t>
  </si>
  <si>
    <t>E/II/2 Más fizetendő általános forgalmi adó</t>
  </si>
  <si>
    <t>167</t>
  </si>
  <si>
    <t>E/II Fizetendő általános forgalmi adó elszámolása (=E/II/1+E/II/2)</t>
  </si>
  <si>
    <t>171</t>
  </si>
  <si>
    <t>E) EGYÉB SAJÁTOS ELSZÁMOLÁSOK (=E/I+E/II+E/III)</t>
  </si>
  <si>
    <t>172</t>
  </si>
  <si>
    <t>F/1  Eredményszemléletű bevételek aktív időbeli elhatárolása</t>
  </si>
  <si>
    <t>173</t>
  </si>
  <si>
    <t>F/2 Költségek, ráfordítások aktív időbeli elhatárolása</t>
  </si>
  <si>
    <t>175</t>
  </si>
  <si>
    <t>F) AKTÍV IDŐBELI  ELHATÁROLÁSOK  (=F/1+F/2+F/3)</t>
  </si>
  <si>
    <t>176</t>
  </si>
  <si>
    <t>ESZKÖZÖK ÖSSZESEN (=A+B+C+D+E+F)</t>
  </si>
  <si>
    <t>177</t>
  </si>
  <si>
    <t>G/I  Nemzeti vagyon induláskori értéke</t>
  </si>
  <si>
    <t>178</t>
  </si>
  <si>
    <t>G/II Nemzeti vagyon változásai</t>
  </si>
  <si>
    <t>179</t>
  </si>
  <si>
    <t>G/III Egyéb eszközök induláskori értéke és változásai</t>
  </si>
  <si>
    <t>180</t>
  </si>
  <si>
    <t>G/IV Felhalmozott eredmény</t>
  </si>
  <si>
    <t>182</t>
  </si>
  <si>
    <t>G/VI Mérleg szerinti eredmény</t>
  </si>
  <si>
    <t>183</t>
  </si>
  <si>
    <t>G/ SAJÁT TŐKE  (= G/I+…+G/VI)</t>
  </si>
  <si>
    <t>209</t>
  </si>
  <si>
    <t>H/I Költségvetési évben esedékes kötelezettségek (=H/I/1+…+H/I/9)</t>
  </si>
  <si>
    <t>233</t>
  </si>
  <si>
    <t>H/II Költségvetési évet követően esedékes kötelezettségek (=H/II/1+…+H/II/9)</t>
  </si>
  <si>
    <t>243</t>
  </si>
  <si>
    <t>H/III Kötelezettség jellegű sajátos elszámolások (=H/III/1+…+H/III/10)</t>
  </si>
  <si>
    <t>244</t>
  </si>
  <si>
    <t>H) KÖTELEZETTSÉGEK (=H/I+H/II+H/III)</t>
  </si>
  <si>
    <t>247</t>
  </si>
  <si>
    <t>J/2 Költségek, ráfordítások passzív időbeli elhatárolása</t>
  </si>
  <si>
    <t>248</t>
  </si>
  <si>
    <t>J/3 Halasztott eredményszemléletű bevételek</t>
  </si>
  <si>
    <t>249</t>
  </si>
  <si>
    <t>J) PASSZÍV IDŐBELI ELHATÁROLÁSOK (=J/1+J/2+J/3)</t>
  </si>
  <si>
    <t>250</t>
  </si>
  <si>
    <t>FORRÁSOK ÖSSZESEN (=G+H+I+J)</t>
  </si>
  <si>
    <t>CSALÁD ÉS GYERMEKJÓLÉTI KÖZPONT</t>
  </si>
  <si>
    <t>KISTÉRSÉGI EGYESÍTETT SZOCIÁLIS INTÉZMÉNY</t>
  </si>
  <si>
    <t>29</t>
  </si>
  <si>
    <t>B/I/1 Vásárolt készletek</t>
  </si>
  <si>
    <t>Mosonmagyaróvár 2020. április</t>
  </si>
  <si>
    <t>EREDMÉNYKIMUTATÁS</t>
  </si>
  <si>
    <t>ÖSSZEVONT</t>
  </si>
  <si>
    <t>TÉRSÉGI TÁRSULÁS</t>
  </si>
  <si>
    <t xml:space="preserve"> Eredménykimutatás</t>
  </si>
  <si>
    <t>Eredménykimutatás</t>
  </si>
  <si>
    <t>02</t>
  </si>
  <si>
    <t>02 Eszközök és szolgáltatások értékesítése nettó eredményszemléletű bevételei</t>
  </si>
  <si>
    <t>04</t>
  </si>
  <si>
    <t>I Tevékenység nettó eredményszemléletű bevétele (=01+02+03)</t>
  </si>
  <si>
    <t>06 Központi működési célú támogatások eredményszemléletű bevételei</t>
  </si>
  <si>
    <t>09</t>
  </si>
  <si>
    <t>07 Egyéb működési célú támogatások eredményszemléletű bevételei</t>
  </si>
  <si>
    <t>08 Felhalmozási célú támogatások eredményszemléletű bevételei</t>
  </si>
  <si>
    <t>11</t>
  </si>
  <si>
    <t>09 Különféle egyéb eredményszemléletű bevételek</t>
  </si>
  <si>
    <t>12</t>
  </si>
  <si>
    <t>III Egyéb eredményszemléletű bevételek (=06+07+08+09)</t>
  </si>
  <si>
    <t>13</t>
  </si>
  <si>
    <t>10 Anyagköltség</t>
  </si>
  <si>
    <t>14</t>
  </si>
  <si>
    <t>11 Igénybe vett szolgáltatások értéke</t>
  </si>
  <si>
    <t>16</t>
  </si>
  <si>
    <t>13 Eladott (közvetített) szolgáltatások értéke</t>
  </si>
  <si>
    <t>17</t>
  </si>
  <si>
    <t>IV Anyagjellegű ráfordítások (=10+11+12+13)</t>
  </si>
  <si>
    <t>19</t>
  </si>
  <si>
    <t>15 Személyi jellegű egyéb kifizetések</t>
  </si>
  <si>
    <t>18</t>
  </si>
  <si>
    <t>14 Bérköltség</t>
  </si>
  <si>
    <t>20</t>
  </si>
  <si>
    <t>16 Bérjárulékok</t>
  </si>
  <si>
    <t>21</t>
  </si>
  <si>
    <t>V Személyi jellegű ráfordítások (=14+15+16)</t>
  </si>
  <si>
    <t>22</t>
  </si>
  <si>
    <t>VI Értékcsökkenési leírás</t>
  </si>
  <si>
    <t>23</t>
  </si>
  <si>
    <t>VII Egyéb ráfordítások</t>
  </si>
  <si>
    <t>24</t>
  </si>
  <si>
    <t>A)  TEVÉKENYSÉGEK EREDMÉNYE (=I±II+III-IV-V-VI-VII)</t>
  </si>
  <si>
    <t>20 Egyéb kapott (járó) kamatok és kamatjellegű eredményszemléletű bevételek</t>
  </si>
  <si>
    <t>32</t>
  </si>
  <si>
    <t>VIII Pénzügyi műveletek eredményszemléletű bevételei (=17+18+19+20+21)</t>
  </si>
  <si>
    <t>B)  PÉNZÜGYI MŰVELETEK EREDMÉNYE (=VIII-IX)</t>
  </si>
  <si>
    <t>44</t>
  </si>
  <si>
    <t>C)  MÉRLEG SZERINTI EREDMÉNY (=±A±B)</t>
  </si>
  <si>
    <t>13/A - Eredménykimutatás</t>
  </si>
  <si>
    <t>MARADVÁNYKIMUTATÁSA 2019. DECEMBER 31-ÉN</t>
  </si>
  <si>
    <t xml:space="preserve"> Maradványkimutatás</t>
  </si>
  <si>
    <t>Összeg</t>
  </si>
  <si>
    <t>01</t>
  </si>
  <si>
    <t>01        Alaptevékenység költségvetési bevételei</t>
  </si>
  <si>
    <t>02        Alaptevékenység költségvetési kiadásai</t>
  </si>
  <si>
    <t>03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</si>
  <si>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</si>
  <si>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</si>
  <si>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</si>
  <si>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</si>
  <si>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07</t>
  </si>
  <si>
    <t>A)        Alaptevékenység maradványa (=±I±II)</t>
  </si>
  <si>
    <t>15</t>
  </si>
  <si>
    <t>C)        Összes maradvány (=A+B)</t>
  </si>
  <si>
    <t>E)        Alaptevékenység szabad maradványa (=A-D)</t>
  </si>
  <si>
    <t>KIADÁSOK ALAKULÁSA 2019. DECEMBER 31-ÉN</t>
  </si>
  <si>
    <t>Teljesített kiadások kormányzati funkciónként</t>
  </si>
  <si>
    <t>011130 Önkormányzatok és önkormányzati hivatalok jogalkotó és általános igazgatási tevékenysége</t>
  </si>
  <si>
    <t>018030 Támogatási célú finanszírozási műveletek</t>
  </si>
  <si>
    <t>062020 Településfejlesztési projektek és támogatásuk</t>
  </si>
  <si>
    <t>084032 Civil szervezetek programtámogatása</t>
  </si>
  <si>
    <t>107013 Hajléktalanok átmeneti ellátása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</si>
  <si>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</si>
  <si>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</si>
  <si>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</si>
  <si>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(=22+…+27) (K2)</t>
  </si>
  <si>
    <t>ebből: szociális hozzájárulási adó (K2)</t>
  </si>
  <si>
    <t>ebből: egészségügyi hozzájárulás (K2)</t>
  </si>
  <si>
    <t>27</t>
  </si>
  <si>
    <t>ebből: munkáltatót terhelő személyi jövedelemadó (K2)</t>
  </si>
  <si>
    <t>Üzemeltetési anyagok beszerzése (K312)</t>
  </si>
  <si>
    <t>31</t>
  </si>
  <si>
    <t>Készletbeszerzés (=28+29+30) (K31)</t>
  </si>
  <si>
    <t>Informatikai szolgáltatások igénybevétele (K321)</t>
  </si>
  <si>
    <t>Kommunikációs szolgáltatások (=32+33) (K32)</t>
  </si>
  <si>
    <t>40</t>
  </si>
  <si>
    <t>Közvetített szolgáltatások  (&gt;=41) (K335)</t>
  </si>
  <si>
    <t>Egyéb szolgáltatások (&gt;=44)  (K337)</t>
  </si>
  <si>
    <t>ebből: biztosítási díjak (K337)</t>
  </si>
  <si>
    <t>45</t>
  </si>
  <si>
    <t>Szolgáltatási kiadások (=35+36+37+39+40+42+43) (K33)</t>
  </si>
  <si>
    <t>49</t>
  </si>
  <si>
    <t>Működési célú előzetesen felszámított általános forgalmi adó (K351)</t>
  </si>
  <si>
    <t>Fizetendő általános forgalmi adó  (K352)</t>
  </si>
  <si>
    <t>58</t>
  </si>
  <si>
    <t>Egyéb dologi kiadások (K355)</t>
  </si>
  <si>
    <t>59</t>
  </si>
  <si>
    <t>Különféle befizetések és egyéb dologi kiadások (=49+50+51+54+58) (K35)</t>
  </si>
  <si>
    <t>60</t>
  </si>
  <si>
    <t>Dologi kiadások (=31+34+45+48+59) (K3)</t>
  </si>
  <si>
    <t>149</t>
  </si>
  <si>
    <t>Egyéb működési célú támogatások államháztartáson belülre (=150+…+159) (K506)</t>
  </si>
  <si>
    <t>156</t>
  </si>
  <si>
    <t>ebből: helyi önkormányzatok és költségvetési szerveik (K506)</t>
  </si>
  <si>
    <t>Egyéb működési célú támogatások államháztartáson kívülre (=178+…+187) (K512)</t>
  </si>
  <si>
    <t>ebből: egyéb civil szervezetek (K512)</t>
  </si>
  <si>
    <t>189</t>
  </si>
  <si>
    <t>Egyéb működési célú kiadások (=120+125+126+127+138+149+160+162+174+175+176+177+188) (K5)</t>
  </si>
  <si>
    <t>191</t>
  </si>
  <si>
    <t>Ingatlanok beszerzése, létesítése (&gt;=192) (K62)</t>
  </si>
  <si>
    <t>193</t>
  </si>
  <si>
    <t>Informatikai eszközök beszerzése, létesítése (K63)</t>
  </si>
  <si>
    <t>194</t>
  </si>
  <si>
    <t>Egyéb tárgyi eszközök beszerzése, létesítése (K64)</t>
  </si>
  <si>
    <t>197</t>
  </si>
  <si>
    <t>Beruházási célú előzetesen felszámított általános forgalmi adó (K67)</t>
  </si>
  <si>
    <t>198</t>
  </si>
  <si>
    <t>Beruházások (=190+191+193+…+197) (K6)</t>
  </si>
  <si>
    <t>199</t>
  </si>
  <si>
    <t>Ingatlanok felújítása (K71)</t>
  </si>
  <si>
    <t>202</t>
  </si>
  <si>
    <t>Felújítási célú előzetesen felszámított általános forgalmi adó (K74)</t>
  </si>
  <si>
    <t>203</t>
  </si>
  <si>
    <t>Felújítások (=199+...+202) (K7)</t>
  </si>
  <si>
    <t>266</t>
  </si>
  <si>
    <t>Költségvetési kiadások (=20+21+60+119+189+198+203+265) (K1-K8)</t>
  </si>
  <si>
    <t>288</t>
  </si>
  <si>
    <t>Központi, irányító szervi támogatások folyósítása (K915)</t>
  </si>
  <si>
    <t>295</t>
  </si>
  <si>
    <t>Belföldi finanszírozás kiadásai (=272+285+…+291+294) (K91)</t>
  </si>
  <si>
    <t>306</t>
  </si>
  <si>
    <t>Finanszírozási kiadások (=295+303+304+305) (K9)</t>
  </si>
  <si>
    <t>307</t>
  </si>
  <si>
    <t>Kiadások összesen (=266+306) (K1-K9)</t>
  </si>
  <si>
    <t xml:space="preserve"> CSALÁD ÉS GYERMEKJÓLÉTI KÖZPONT</t>
  </si>
  <si>
    <t xml:space="preserve"> Teljesített kiadások kormányzati funkciónként</t>
  </si>
  <si>
    <t>104012 Gyermekek átmeneti ellátása</t>
  </si>
  <si>
    <t>104042 Család és gyermekjóléti szolgáltatások</t>
  </si>
  <si>
    <t>104043 Család és gyermekjóléti központ</t>
  </si>
  <si>
    <t>Törvény szerinti illetmények, munkabérek (K1101)</t>
  </si>
  <si>
    <t>Céljuttatás, projektprémium (K1103)</t>
  </si>
  <si>
    <t>Készenléti, ügyeleti, helyettesítési díj, túlóra, túlszolgálat (K1104)</t>
  </si>
  <si>
    <t>Jubileumi jutalom (K1106)</t>
  </si>
  <si>
    <t>Béren kívüli juttatások (K1107)</t>
  </si>
  <si>
    <t>Közlekedési költségtérítés (K1109)</t>
  </si>
  <si>
    <t>Egyéb költségtérítések (K1110)</t>
  </si>
  <si>
    <t>Foglalkoztatottak egyéb személyi juttatásai (&gt;=14) (K1113)</t>
  </si>
  <si>
    <t>Foglalkoztatottak személyi juttatásai (=01+…+13) (K11)</t>
  </si>
  <si>
    <t>ebből: rehabilitációs hozzájárulás (K2)</t>
  </si>
  <si>
    <t>25</t>
  </si>
  <si>
    <t>ebből: táppénz hozzájárulás (K2)</t>
  </si>
  <si>
    <t>Szakmai anyagok beszerzése (K311)</t>
  </si>
  <si>
    <t>33</t>
  </si>
  <si>
    <t>Egyéb kommunikációs szolgáltatások (K322)</t>
  </si>
  <si>
    <t>35</t>
  </si>
  <si>
    <t>Közüzemi díjak (K331)</t>
  </si>
  <si>
    <t>36</t>
  </si>
  <si>
    <t>Vásárolt élelmezés (K332)</t>
  </si>
  <si>
    <t>37</t>
  </si>
  <si>
    <t>Bérleti és lízing díjak (&gt;=38) (K333)</t>
  </si>
  <si>
    <t>39</t>
  </si>
  <si>
    <t>Karbantartási, kisjavítási szolgáltatások (K334)</t>
  </si>
  <si>
    <t>41</t>
  </si>
  <si>
    <t>ebből: államháztartáson belül (K335)</t>
  </si>
  <si>
    <t>42</t>
  </si>
  <si>
    <t>Szakmai tevékenységet segítő szolgáltatások  (K336)</t>
  </si>
  <si>
    <t>46</t>
  </si>
  <si>
    <t>Kiküldetések kiadásai (K341)</t>
  </si>
  <si>
    <t>47</t>
  </si>
  <si>
    <t>Reklám- és propagandakiadások (K342)</t>
  </si>
  <si>
    <t>48</t>
  </si>
  <si>
    <t>Kiküldetések, reklám- és propagandakiadások (=46+47) (K34)</t>
  </si>
  <si>
    <t>96</t>
  </si>
  <si>
    <t>Intézményi ellátottak pénzbeli juttatásai (&gt;=97+98) (K47)</t>
  </si>
  <si>
    <t>119</t>
  </si>
  <si>
    <t>Ellátottak pénzbeli juttatásai (=61+62+73+74+84+93+96+99) (K4)</t>
  </si>
  <si>
    <t>157</t>
  </si>
  <si>
    <t>ebből: társulások és költségvetési szerveik (K506)</t>
  </si>
  <si>
    <t>190</t>
  </si>
  <si>
    <t>Immateriális javak beszerzése, létesítése (K61)</t>
  </si>
  <si>
    <t>201</t>
  </si>
  <si>
    <t>Egyéb tárgyi eszközök felújítása  (K73)</t>
  </si>
  <si>
    <t>041237 Közfoglalkoztatási mintaprogram</t>
  </si>
  <si>
    <t>101221 Fogyatékossággal élők nappali ellátása</t>
  </si>
  <si>
    <t>102023 Időskorúak tartós bentlakásos ellátása</t>
  </si>
  <si>
    <t>102024 Demens betegek tartós bentlakásos ellátása</t>
  </si>
  <si>
    <t>102025 Időskorúak átmeneti ellátása</t>
  </si>
  <si>
    <t>102026 Demens betegek átmeneti ellátása</t>
  </si>
  <si>
    <t>102031 Idősek nappali ellátása</t>
  </si>
  <si>
    <t>102032 Demens betegek nappali ellátása</t>
  </si>
  <si>
    <t>107015 Hajléktalanok nappali ellátása</t>
  </si>
  <si>
    <t>107030 Szociális foglalkoztatás, fejlesztő foglalkoztatás</t>
  </si>
  <si>
    <t>107050  Szociális étkeztetés népkonyhán</t>
  </si>
  <si>
    <t>107051 Szociális étkeztetés szociális konyhán</t>
  </si>
  <si>
    <t>107052 Házi segítségnyújtás</t>
  </si>
  <si>
    <t>107053 Jelzőrendszeres házi segítségnyújtás</t>
  </si>
  <si>
    <t>Munkavégzésre irányuló egyéb jogviszonyban nem saját foglalkoztatottnak fizetett juttatások (K122)</t>
  </si>
  <si>
    <t>BEVÉTELEK ALAKULÁSA 2019. DECEMBER 31-ÉN</t>
  </si>
  <si>
    <t xml:space="preserve"> Teljesített bevételek kormányzati funkciónként</t>
  </si>
  <si>
    <t>Egyéb működési célú támogatások bevételei államháztartáson belülről (=33+…+42) (B16)</t>
  </si>
  <si>
    <t>ebből: egyéb fejezeti kezelésű előirányzatok (B16)</t>
  </si>
  <si>
    <t>ebből: helyi önkormányzatok és költségvetési szerveik (B16)</t>
  </si>
  <si>
    <t>ebből: társulások és költségvetési szerveik (B16)</t>
  </si>
  <si>
    <t>Működési célú támogatások államháztartáson belülről (=07+...+10+21+32) (B1)</t>
  </si>
  <si>
    <t>68</t>
  </si>
  <si>
    <t>Egyéb felhalmozási célú támogatások bevételei államháztartáson belülről (=69+…+78) (B25)</t>
  </si>
  <si>
    <t>71</t>
  </si>
  <si>
    <t>ebből: fejezeti kezelésű előirányzatok EU-s programokra és azok hazai társfinanszírozása (B25)</t>
  </si>
  <si>
    <t>79</t>
  </si>
  <si>
    <t>Felhalmozási célú támogatások államháztartáson belülről (=44+45+46+57+68) (B2)</t>
  </si>
  <si>
    <t>Közvetített szolgáltatások ellenértéke  (&gt;=190) (B403)</t>
  </si>
  <si>
    <t>ebből: államháztartáson belül (B403)</t>
  </si>
  <si>
    <t>Ellátási díjak (B405)</t>
  </si>
  <si>
    <t>Kiszámlázott általános forgalmi adó (B406)</t>
  </si>
  <si>
    <t>204</t>
  </si>
  <si>
    <t>Egyéb kapott (járó) kamatok és kamatjellegű bevételek (&gt;=205+206) (B4082)</t>
  </si>
  <si>
    <t>207</t>
  </si>
  <si>
    <t>Kamatbevételek és más nyereségjellegű bevételek (=201+204) (B408)</t>
  </si>
  <si>
    <t>217</t>
  </si>
  <si>
    <t>Egyéb működési bevételek (&gt;=218+219) (B411)</t>
  </si>
  <si>
    <t>219</t>
  </si>
  <si>
    <t>ebből: kiadások visszatérítései (B411)</t>
  </si>
  <si>
    <t>220</t>
  </si>
  <si>
    <t>Működési bevételek (=185+186+189+191+198+…+200+207+215+216+217) (B4)</t>
  </si>
  <si>
    <t>Egyéb működési célú átvett pénzeszközök (=244+…+254) (B65)</t>
  </si>
  <si>
    <t>246</t>
  </si>
  <si>
    <t>ebből: egyéb civil szervezetek (B65)</t>
  </si>
  <si>
    <t>255</t>
  </si>
  <si>
    <t>Működési célú átvett pénzeszközök (=230+...+233+243) (B6)</t>
  </si>
  <si>
    <t>282</t>
  </si>
  <si>
    <t>Költségvetési bevételek (=43+79+184+220+229+255+281) (B1-B7)</t>
  </si>
  <si>
    <t>294</t>
  </si>
  <si>
    <t>Előző év költségvetési maradványának igénybevétele (B8131)</t>
  </si>
  <si>
    <t>296</t>
  </si>
  <si>
    <t>Maradvány igénybevétele (=294+295) (B813)</t>
  </si>
  <si>
    <t>305</t>
  </si>
  <si>
    <t>Belföldi finanszírozás bevételei (=286+293+296+…+301+304) (B81)</t>
  </si>
  <si>
    <t>314</t>
  </si>
  <si>
    <t>Finanszírozási bevételek (=305+311+312+313) (B8)</t>
  </si>
  <si>
    <t>315</t>
  </si>
  <si>
    <t>Bevételek összesen (282+314) (B1-B8)</t>
  </si>
  <si>
    <t>104030 Gyermekek napközbeni ellátása</t>
  </si>
  <si>
    <t>299</t>
  </si>
  <si>
    <t>Központi, irányító szervi támogatás (B816)</t>
  </si>
  <si>
    <t>38</t>
  </si>
  <si>
    <t>ebből: elkülönített állami pénzalapok (B16)</t>
  </si>
  <si>
    <t>185</t>
  </si>
  <si>
    <t>Készletértékesítés ellenértéke (B401)</t>
  </si>
  <si>
    <t>186</t>
  </si>
  <si>
    <t>Szolgáltatások ellenértéke (&gt;=187+188) (B402)</t>
  </si>
  <si>
    <t>216</t>
  </si>
  <si>
    <t>Biztosító által fizetett kártérítés (B410)</t>
  </si>
  <si>
    <t>Mindösszesen</t>
  </si>
  <si>
    <t>Egészségügyi kiegészítő pótlék KESZI</t>
  </si>
  <si>
    <t>KESZI</t>
  </si>
  <si>
    <t>Összevont ágazgati pótlék</t>
  </si>
  <si>
    <t>Járó támogatás</t>
  </si>
  <si>
    <t>Teljesítés</t>
  </si>
  <si>
    <t>Módosított előirányzat</t>
  </si>
  <si>
    <t>- ebből KESZI-t érintő elszámolási kötelezettség</t>
  </si>
  <si>
    <t>- ebből CSGYK-t érintő elszámolási kötelezettség</t>
  </si>
  <si>
    <t>intézményi- üzemeltetési támgoatás</t>
  </si>
  <si>
    <t>III.4. b</t>
  </si>
  <si>
    <t>34 fő</t>
  </si>
  <si>
    <t>szakmai dolgozók bértámogatása</t>
  </si>
  <si>
    <t>III.4.</t>
  </si>
  <si>
    <t>óvodai- iskolai nevelő munkát segítők támogatása</t>
  </si>
  <si>
    <t>III.3.n.</t>
  </si>
  <si>
    <t>36 fő</t>
  </si>
  <si>
    <t>hajléktalanok átmeneti szállása</t>
  </si>
  <si>
    <t>III.3.k</t>
  </si>
  <si>
    <t>hajléktalanok napplai intézményi ellátása</t>
  </si>
  <si>
    <t>III.3. i. (2)</t>
  </si>
  <si>
    <t>Fogyatékos személyek nappali intézményi ellátása, foglalkoztatásban részesülő fogyatékos személyek, demens személyek nappali ellátása</t>
  </si>
  <si>
    <t>III.3.g (2) (3) (6)</t>
  </si>
  <si>
    <t>Időskorúak nappali intézményi ellátása</t>
  </si>
  <si>
    <t>III.3.f (2)</t>
  </si>
  <si>
    <t xml:space="preserve">III.3.d. </t>
  </si>
  <si>
    <t>Szociális Étkeztetés</t>
  </si>
  <si>
    <t>III.3.c.</t>
  </si>
  <si>
    <t>Család és Gyermekjóléti Szolgálat</t>
  </si>
  <si>
    <t>III.3.a.</t>
  </si>
  <si>
    <t>Elszámolás szerinti különbözet</t>
  </si>
  <si>
    <t>Eredeti előirányzat</t>
  </si>
  <si>
    <t>Fajlagos mutató elszámolás szerint</t>
  </si>
  <si>
    <t>Fajlagos mutató módosított</t>
  </si>
  <si>
    <t>Jogcím</t>
  </si>
  <si>
    <t>ÁLLAMI TÁMOGATÁS</t>
  </si>
  <si>
    <t>2019. ÉVI KÖLTSÉGVETÉSI VÉGREHAJTÁSÁRÓL SZÓLÓ HATÁROZAT MELLÉKLETE</t>
  </si>
  <si>
    <t>III.3.b.</t>
  </si>
  <si>
    <t>439 fő</t>
  </si>
  <si>
    <t>435 fő</t>
  </si>
  <si>
    <t>131 fő</t>
  </si>
  <si>
    <t>129 fő</t>
  </si>
  <si>
    <t>46 fő</t>
  </si>
  <si>
    <t>43 fő</t>
  </si>
  <si>
    <t>17 fő,                               10fő,                          31fő</t>
  </si>
  <si>
    <t>17 fő,                               11fő,                          30fő</t>
  </si>
  <si>
    <t>39 fő</t>
  </si>
  <si>
    <t>41 fő</t>
  </si>
  <si>
    <t>Hajléktalan ellátás rendkívüli minisztériumi támogatás átadása KESZI (fejlesztési + meghosszabbított nyitvatartásra)</t>
  </si>
  <si>
    <t xml:space="preserve">Teljesítés és járó támogatáson belül minimálbér miatt kapott kiegészítés </t>
  </si>
  <si>
    <t>Teljesítés  Ft-ban</t>
  </si>
  <si>
    <t>Áht. Belüli pénzeszköz átadás</t>
  </si>
  <si>
    <t>-megállapodás alapján Hivatal részére átadott támogatás</t>
  </si>
  <si>
    <t>Áht. Kívüli pénzeszköz átadás</t>
  </si>
  <si>
    <t>Összes pénzeszköz átadás intézményfinanszírozáson kívül</t>
  </si>
  <si>
    <t>- 2018. évi beszámoló alapján állami támogatás visszafizetése Mosonmagyaróvár Város Önk. Felé</t>
  </si>
  <si>
    <t>- Mosonmagyaróvár Kulturális Egyesület támogatása - Aranypor c. kiadvány</t>
  </si>
  <si>
    <t>- Mosonmagyaróvár és Környéke Nyugdíjas Klub támogatása  2019. évi programok szervezéséhez</t>
  </si>
  <si>
    <t>A Mosonmagyaróvári Karolina Kórház-Rendelőintézet részére a támogatás átadására 2020.01.27-én került sor,</t>
  </si>
  <si>
    <t>a Mosonmagyaróvár és Vonzáskörzete Lakosainak Egészségügyi Ellátásért Alapítvány javára.</t>
  </si>
  <si>
    <t>Mosonmagyaróvár Térségi Társulás tagönkormányzati által teljesített befizetések</t>
  </si>
  <si>
    <t>Előirányzat Ft</t>
  </si>
  <si>
    <t>Teljesített befizetés Ft</t>
  </si>
  <si>
    <t>Tartozás Ft</t>
  </si>
  <si>
    <t>Megjegyzés Ft</t>
  </si>
  <si>
    <t>27 település befizetései</t>
  </si>
  <si>
    <t>Társulási tagdíj</t>
  </si>
  <si>
    <t>Térségi Társulás illetve KESZI finanszírozásra használva</t>
  </si>
  <si>
    <t>Gyermekjólét támogatása</t>
  </si>
  <si>
    <t>felhasználás a CSGYK szervezet működéséhez</t>
  </si>
  <si>
    <t>Karolina Kórház - Rendelőintézet eszközbeszerzés támogatása</t>
  </si>
  <si>
    <t>Szolidaritási alap</t>
  </si>
  <si>
    <t>Felújítási alap</t>
  </si>
  <si>
    <t>Kiegészítő hozzájárulás</t>
  </si>
  <si>
    <t>Összes befizetésból Mosonmagyaróvár Város Önk. Jutó</t>
  </si>
  <si>
    <t>Összes befizetésből a többi tagtelepülésre jutó</t>
  </si>
  <si>
    <t>Összes bevétel:</t>
  </si>
  <si>
    <t>Feladatok</t>
  </si>
  <si>
    <t>Család és gyermekjóléti szolgálat</t>
  </si>
  <si>
    <t>Intézményi bevétellel és állami támogatással nem fedezett kiadás</t>
  </si>
  <si>
    <t>6. melléklet</t>
  </si>
  <si>
    <t>7 melléklet</t>
  </si>
  <si>
    <t>8 melléklet</t>
  </si>
  <si>
    <t>11 melléklet</t>
  </si>
  <si>
    <t>12. melléklet</t>
  </si>
  <si>
    <t>13. melléklet</t>
  </si>
  <si>
    <t>2019. évben</t>
  </si>
  <si>
    <t xml:space="preserve">Nem került felhasználásra, elkülönített számlán rendelkezésre áll. 2019.12.31-én záró egyenleg 3.171.745 Ft. </t>
  </si>
  <si>
    <t>2019.12.31-én záró egyenleg 8.387.048 Ft. 2019. évi felhasználás: CSGYK új épület kialakításához kapcsolódó hatósági költségekre: 46.800 Ft; Hajléktalanszálló fejlesztésére 753.613 Ft, KESZI konyfelújítási projekt eljárási költségek 1 282 423 Ft, KESZI zsírfogó építése forrás 1.994.343 Ft. Összesen 4.077.179 Ft került kifizetésre.</t>
  </si>
  <si>
    <t>a Tásulás kiegészítette a támogatást279.140 Ft-tal, és a kórházi alapítványnak átadásra került az 1.840e Ft 2020.01.27-én</t>
  </si>
  <si>
    <t>Felhasználásra került a CSGYK-n belül a család és gyermekjóléti szolgálat feladat ellátáshoz, a KESZI- n belül házi segítségnyújtáshoz és  a szociális étkeztetés feladat ellátáshoz.</t>
  </si>
  <si>
    <t>2018. évről Elmaradt hozzájárulás és tagdíj beérkezése</t>
  </si>
  <si>
    <t>Bezenye Község Önkormányzat 2018. évi tartozás rendezése</t>
  </si>
  <si>
    <t>Mosonmagyaróvár Város Önkormányzat által finanszírozott hiány a társulás intézményeihez kapcsolódóan</t>
  </si>
  <si>
    <t>KESZI és CSGYK működésére fordítva</t>
  </si>
  <si>
    <t>lakosságszám arány: 41,69%</t>
  </si>
  <si>
    <t>lakosságszám arány: 58,31%</t>
  </si>
  <si>
    <t>A tartozást az illetékes település önkormányzat 2020-ban megfizeti.</t>
  </si>
  <si>
    <t>Az 1 223 Ft/lakos külön hozzájárulás elszámolása</t>
  </si>
  <si>
    <t>2019. december 31-ig teljesült kiadás</t>
  </si>
  <si>
    <t>2019. december 31-ig teljesült bevétel</t>
  </si>
  <si>
    <t>Állami támogatás (minimálbér támogatással együtt)</t>
  </si>
  <si>
    <t>Teljesített kiegészítő hozzájárulás a hiány finanszírozáshoz</t>
  </si>
  <si>
    <t>A kiemelt kormányzati funkciók vonatkozásában fel nem használt hozzájárulás</t>
  </si>
  <si>
    <t>Fel nem használt hozzájárulás</t>
  </si>
  <si>
    <t>Fejlesztő foglalkoztatás és jelzőrendszer támogatás KESZI</t>
  </si>
  <si>
    <t>A fejlesztő foglalkoztatás támogatása:</t>
  </si>
  <si>
    <r>
      <t>-</t>
    </r>
    <r>
      <rPr>
        <sz val="7"/>
        <color rgb="FF000000"/>
        <rFont val="Times New Roman"/>
        <family val="1"/>
        <charset val="238"/>
      </rPr>
      <t xml:space="preserve">          </t>
    </r>
    <r>
      <rPr>
        <sz val="12"/>
        <color rgb="FF000000"/>
        <rFont val="Calibri"/>
        <family val="2"/>
        <charset val="238"/>
      </rPr>
      <t>negyedévente 3.644.160 Ft, ez összesen 14.576.640 Ft</t>
    </r>
  </si>
  <si>
    <r>
      <t>-</t>
    </r>
    <r>
      <rPr>
        <sz val="7"/>
        <color rgb="FF000000"/>
        <rFont val="Times New Roman"/>
        <family val="1"/>
        <charset val="238"/>
      </rPr>
      <t xml:space="preserve">          </t>
    </r>
    <r>
      <rPr>
        <sz val="12"/>
        <color rgb="FF000000"/>
        <rFont val="Calibri"/>
        <family val="2"/>
        <charset val="238"/>
      </rPr>
      <t>kiegészítő támogatás: 307.200 Ft</t>
    </r>
  </si>
  <si>
    <t>összesen: 14.883.840 Ft</t>
  </si>
  <si>
    <t>A jelzőrendszeres házi segítségnyújtás támogatása:</t>
  </si>
  <si>
    <r>
      <t>-</t>
    </r>
    <r>
      <rPr>
        <sz val="7"/>
        <color rgb="FF000000"/>
        <rFont val="Times New Roman"/>
        <family val="1"/>
        <charset val="238"/>
      </rPr>
      <t xml:space="preserve">          </t>
    </r>
    <r>
      <rPr>
        <sz val="12"/>
        <color rgb="FF000000"/>
        <rFont val="Calibri"/>
        <family val="2"/>
        <charset val="238"/>
      </rPr>
      <t>9.995.600 Ft</t>
    </r>
  </si>
  <si>
    <t>2019. évi elszámolás alapján 2020. év elején  januárban visszafizettünk: 458.790 Ft-ot, így a felhasznált támogatás: 9.536.810 Ft lett a jelzőrendszeres házi segítségnyújtásnál.</t>
  </si>
  <si>
    <t>Házi segítségnyújtás és jelzőrendszeres házi segítségnyújtás</t>
  </si>
  <si>
    <t>4. melléklet</t>
  </si>
  <si>
    <t>5.  melléklet</t>
  </si>
  <si>
    <t>1. MELLÉKLET</t>
  </si>
  <si>
    <t>2./A MELLÉKLET</t>
  </si>
  <si>
    <t>2./B MELLÉKLET</t>
  </si>
  <si>
    <t>2./C MELLÉKLET</t>
  </si>
  <si>
    <t>2./D  MELLÉKLET</t>
  </si>
  <si>
    <t>3. MELLÉKLET</t>
  </si>
  <si>
    <t>9 -10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</si>
</sst>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  <numFmt numFmtId="172" formatCode="#,##0.00\ &quot;Ft&quot;"/>
    <numFmt numFmtId="173" formatCode="_-* #,##0\ &quot;Ft&quot;_-;\-* #,##0\ &quot;Ft&quot;_-;_-* &quot;-&quot;??\ &quot;Ft&quot;_-;_-@_-"/>
  </numFmts>
  <fonts count="48" x14ac:knownFonts="1">
    <font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2"/>
      <name val="Arial"/>
    </font>
    <font>
      <sz val="12"/>
      <name val="Arial"/>
      <family val="2"/>
      <charset val="238"/>
    </font>
    <font>
      <sz val="10"/>
      <name val="Arial"/>
    </font>
    <font>
      <sz val="10"/>
      <name val="Arial"/>
      <family val="2"/>
      <charset val="238"/>
    </font>
    <font>
      <b/>
      <sz val="10"/>
      <name val="Arial"/>
    </font>
    <font>
      <b/>
      <sz val="10"/>
      <name val="Arial"/>
      <family val="2"/>
      <charset val="238"/>
    </font>
    <font>
      <sz val="11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  <font>
      <sz val="11"/>
      <color theme="0"/>
      <name val="Calibri"/>
      <family val="2"/>
      <charset val="238"/>
    </font>
    <font>
      <b/>
      <sz val="11"/>
      <color theme="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27"/>
      </patternFill>
    </fill>
    <fill>
      <patternFill patternType="solid">
        <fgColor rgb="FFCCFFFF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8" fontId="15" fillId="0" borderId="0" applyBorder="0" applyProtection="0"/>
    <xf numFmtId="164" fontId="15" fillId="0" borderId="0" applyBorder="0" applyProtection="0"/>
    <xf numFmtId="169" fontId="2" fillId="0" borderId="0" applyFont="0" applyFill="0" applyBorder="0" applyAlignment="0" applyProtection="0"/>
    <xf numFmtId="0" fontId="16" fillId="0" borderId="0" applyNumberFormat="0" applyBorder="0" applyProtection="0">
      <alignment horizontal="center"/>
    </xf>
    <xf numFmtId="0" fontId="16" fillId="0" borderId="0" applyNumberFormat="0" applyBorder="0" applyProtection="0">
      <alignment horizontal="center" textRotation="90"/>
    </xf>
    <xf numFmtId="164" fontId="17" fillId="0" borderId="0" applyBorder="0" applyProtection="0"/>
    <xf numFmtId="164" fontId="17" fillId="0" borderId="0" applyBorder="0" applyProtection="0"/>
    <xf numFmtId="0" fontId="15" fillId="0" borderId="0" applyNumberFormat="0" applyBorder="0" applyProtection="0"/>
    <xf numFmtId="0" fontId="15" fillId="0" borderId="0" applyNumberFormat="0" applyBorder="0" applyProtection="0"/>
    <xf numFmtId="0" fontId="18" fillId="0" borderId="0" applyNumberFormat="0" applyBorder="0" applyProtection="0"/>
    <xf numFmtId="170" fontId="18" fillId="0" borderId="0" applyBorder="0" applyProtection="0"/>
    <xf numFmtId="9" fontId="31" fillId="0" borderId="0" applyFont="0" applyFill="0" applyBorder="0" applyAlignment="0" applyProtection="0"/>
    <xf numFmtId="0" fontId="1" fillId="0" borderId="0"/>
    <xf numFmtId="0" fontId="1" fillId="0" borderId="0"/>
    <xf numFmtId="0" fontId="35" fillId="0" borderId="0"/>
  </cellStyleXfs>
  <cellXfs count="340">
    <xf numFmtId="0" fontId="0" fillId="0" borderId="0" xfId="0"/>
    <xf numFmtId="164" fontId="3" fillId="0" borderId="0" xfId="2" applyFont="1" applyFill="1" applyAlignment="1"/>
    <xf numFmtId="164" fontId="4" fillId="0" borderId="0" xfId="2" applyFont="1" applyFill="1" applyAlignment="1"/>
    <xf numFmtId="164" fontId="4" fillId="0" borderId="0" xfId="2" applyFont="1" applyFill="1" applyAlignment="1">
      <alignment horizontal="center"/>
    </xf>
    <xf numFmtId="164" fontId="5" fillId="0" borderId="1" xfId="2" applyFont="1" applyFill="1" applyBorder="1" applyAlignment="1">
      <alignment horizontal="center" vertical="top" wrapText="1"/>
    </xf>
    <xf numFmtId="164" fontId="5" fillId="0" borderId="2" xfId="2" applyFont="1" applyFill="1" applyBorder="1" applyAlignment="1">
      <alignment horizontal="center" vertical="top" wrapText="1"/>
    </xf>
    <xf numFmtId="164" fontId="7" fillId="0" borderId="3" xfId="2" applyFont="1" applyFill="1" applyBorder="1" applyAlignment="1">
      <alignment horizontal="center" vertical="top" wrapText="1"/>
    </xf>
    <xf numFmtId="164" fontId="7" fillId="0" borderId="4" xfId="2" applyFont="1" applyFill="1" applyBorder="1" applyAlignment="1">
      <alignment horizontal="justify" vertical="top" wrapText="1"/>
    </xf>
    <xf numFmtId="164" fontId="7" fillId="0" borderId="2" xfId="2" applyFont="1" applyFill="1" applyBorder="1" applyAlignment="1">
      <alignment horizontal="justify" vertical="top" wrapText="1"/>
    </xf>
    <xf numFmtId="164" fontId="7" fillId="0" borderId="5" xfId="2" applyFont="1" applyFill="1" applyBorder="1" applyAlignment="1">
      <alignment horizontal="center" vertical="top" wrapText="1"/>
    </xf>
    <xf numFmtId="164" fontId="7" fillId="0" borderId="0" xfId="2" applyFont="1" applyFill="1" applyAlignment="1">
      <alignment horizontal="justify"/>
    </xf>
    <xf numFmtId="164" fontId="8" fillId="0" borderId="0" xfId="2" applyFont="1" applyFill="1" applyAlignment="1">
      <alignment horizontal="center"/>
    </xf>
    <xf numFmtId="164" fontId="9" fillId="2" borderId="0" xfId="2" applyFont="1" applyFill="1" applyAlignment="1">
      <alignment horizontal="center" wrapText="1"/>
    </xf>
    <xf numFmtId="164" fontId="10" fillId="0" borderId="6" xfId="2" applyFont="1" applyFill="1" applyBorder="1" applyAlignment="1">
      <alignment horizontal="center"/>
    </xf>
    <xf numFmtId="164" fontId="10" fillId="0" borderId="7" xfId="2" applyFont="1" applyFill="1" applyBorder="1" applyAlignment="1">
      <alignment horizontal="center"/>
    </xf>
    <xf numFmtId="164" fontId="10" fillId="0" borderId="7" xfId="2" applyFont="1" applyFill="1" applyBorder="1" applyAlignment="1">
      <alignment horizontal="center" wrapText="1"/>
    </xf>
    <xf numFmtId="164" fontId="11" fillId="0" borderId="8" xfId="2" applyFont="1" applyFill="1" applyBorder="1" applyAlignment="1"/>
    <xf numFmtId="166" fontId="11" fillId="0" borderId="8" xfId="2" applyNumberFormat="1" applyFont="1" applyFill="1" applyBorder="1" applyAlignment="1"/>
    <xf numFmtId="166" fontId="11" fillId="0" borderId="9" xfId="2" applyNumberFormat="1" applyFont="1" applyFill="1" applyBorder="1" applyAlignment="1"/>
    <xf numFmtId="164" fontId="10" fillId="3" borderId="8" xfId="2" applyFont="1" applyFill="1" applyBorder="1" applyAlignment="1"/>
    <xf numFmtId="166" fontId="10" fillId="3" borderId="8" xfId="2" applyNumberFormat="1" applyFont="1" applyFill="1" applyBorder="1" applyAlignment="1"/>
    <xf numFmtId="166" fontId="10" fillId="3" borderId="9" xfId="2" applyNumberFormat="1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6" fontId="11" fillId="0" borderId="0" xfId="2" applyNumberFormat="1" applyFont="1" applyFill="1" applyAlignment="1"/>
    <xf numFmtId="164" fontId="12" fillId="0" borderId="8" xfId="2" applyFont="1" applyFill="1" applyBorder="1" applyAlignment="1"/>
    <xf numFmtId="164" fontId="11" fillId="0" borderId="0" xfId="2" applyFont="1" applyFill="1" applyAlignment="1"/>
    <xf numFmtId="164" fontId="10" fillId="0" borderId="8" xfId="2" applyFont="1" applyFill="1" applyBorder="1" applyAlignment="1"/>
    <xf numFmtId="164" fontId="10" fillId="0" borderId="0" xfId="2" applyFont="1" applyFill="1" applyAlignment="1"/>
    <xf numFmtId="166" fontId="10" fillId="0" borderId="0" xfId="2" applyNumberFormat="1" applyFont="1" applyFill="1" applyAlignment="1"/>
    <xf numFmtId="164" fontId="9" fillId="2" borderId="0" xfId="2" applyFont="1" applyFill="1" applyAlignment="1"/>
    <xf numFmtId="164" fontId="9" fillId="2" borderId="0" xfId="2" applyFont="1" applyFill="1" applyAlignment="1">
      <alignment wrapText="1"/>
    </xf>
    <xf numFmtId="164" fontId="10" fillId="0" borderId="10" xfId="2" applyFont="1" applyFill="1" applyBorder="1" applyAlignment="1">
      <alignment horizontal="center"/>
    </xf>
    <xf numFmtId="164" fontId="10" fillId="0" borderId="11" xfId="2" applyFont="1" applyFill="1" applyBorder="1" applyAlignment="1">
      <alignment horizontal="center" wrapText="1"/>
    </xf>
    <xf numFmtId="164" fontId="8" fillId="0" borderId="0" xfId="2" applyFont="1" applyFill="1" applyAlignment="1">
      <alignment horizontal="center" wrapText="1"/>
    </xf>
    <xf numFmtId="0" fontId="0" fillId="0" borderId="0" xfId="0" applyFill="1"/>
    <xf numFmtId="166" fontId="11" fillId="0" borderId="12" xfId="2" applyNumberFormat="1" applyFont="1" applyFill="1" applyBorder="1" applyAlignment="1"/>
    <xf numFmtId="167" fontId="3" fillId="0" borderId="0" xfId="3" applyNumberFormat="1" applyFont="1" applyFill="1" applyAlignment="1"/>
    <xf numFmtId="166" fontId="10" fillId="0" borderId="12" xfId="2" applyNumberFormat="1" applyFont="1" applyFill="1" applyBorder="1" applyAlignment="1"/>
    <xf numFmtId="166" fontId="10" fillId="3" borderId="10" xfId="2" applyNumberFormat="1" applyFont="1" applyFill="1" applyBorder="1" applyAlignment="1"/>
    <xf numFmtId="0" fontId="0" fillId="0" borderId="0" xfId="0"/>
    <xf numFmtId="0" fontId="0" fillId="0" borderId="0" xfId="0"/>
    <xf numFmtId="166" fontId="19" fillId="0" borderId="15" xfId="2" applyNumberFormat="1" applyFont="1" applyFill="1" applyBorder="1" applyAlignment="1"/>
    <xf numFmtId="164" fontId="15" fillId="0" borderId="0" xfId="2" applyFont="1" applyFill="1" applyAlignment="1"/>
    <xf numFmtId="164" fontId="20" fillId="0" borderId="0" xfId="2" applyFont="1" applyFill="1" applyAlignment="1"/>
    <xf numFmtId="164" fontId="20" fillId="0" borderId="0" xfId="2" applyFont="1" applyFill="1" applyAlignment="1">
      <alignment wrapText="1"/>
    </xf>
    <xf numFmtId="164" fontId="15" fillId="0" borderId="16" xfId="2" applyFont="1" applyFill="1" applyBorder="1" applyAlignment="1">
      <alignment wrapText="1"/>
    </xf>
    <xf numFmtId="165" fontId="21" fillId="0" borderId="16" xfId="1" applyNumberFormat="1" applyFont="1" applyFill="1" applyBorder="1" applyAlignment="1"/>
    <xf numFmtId="164" fontId="20" fillId="5" borderId="16" xfId="2" applyFont="1" applyFill="1" applyBorder="1" applyAlignment="1">
      <alignment wrapText="1"/>
    </xf>
    <xf numFmtId="165" fontId="20" fillId="5" borderId="16" xfId="1" applyNumberFormat="1" applyFont="1" applyFill="1" applyBorder="1" applyAlignment="1"/>
    <xf numFmtId="164" fontId="15" fillId="0" borderId="15" xfId="2" applyFont="1" applyFill="1" applyBorder="1" applyAlignment="1">
      <alignment wrapText="1"/>
    </xf>
    <xf numFmtId="165" fontId="23" fillId="0" borderId="16" xfId="1" applyNumberFormat="1" applyFont="1" applyFill="1" applyBorder="1" applyAlignment="1"/>
    <xf numFmtId="164" fontId="20" fillId="5" borderId="0" xfId="2" applyFont="1" applyFill="1" applyAlignment="1">
      <alignment wrapText="1"/>
    </xf>
    <xf numFmtId="165" fontId="22" fillId="5" borderId="0" xfId="2" applyNumberFormat="1" applyFont="1" applyFill="1" applyAlignment="1"/>
    <xf numFmtId="165" fontId="22" fillId="0" borderId="0" xfId="2" applyNumberFormat="1" applyFont="1" applyFill="1" applyAlignment="1"/>
    <xf numFmtId="164" fontId="24" fillId="0" borderId="0" xfId="2" applyFont="1" applyFill="1" applyAlignment="1">
      <alignment horizontal="right"/>
    </xf>
    <xf numFmtId="164" fontId="24" fillId="0" borderId="0" xfId="2" applyFont="1" applyFill="1" applyAlignment="1"/>
    <xf numFmtId="164" fontId="24" fillId="0" borderId="0" xfId="2" applyFont="1" applyFill="1" applyAlignment="1">
      <alignment horizontal="justify"/>
    </xf>
    <xf numFmtId="164" fontId="25" fillId="0" borderId="0" xfId="2" applyFont="1" applyFill="1" applyAlignment="1"/>
    <xf numFmtId="164" fontId="24" fillId="0" borderId="0" xfId="2" applyFont="1" applyFill="1" applyBorder="1" applyAlignment="1">
      <alignment horizontal="center"/>
    </xf>
    <xf numFmtId="164" fontId="26" fillId="0" borderId="17" xfId="2" applyFont="1" applyFill="1" applyBorder="1" applyAlignment="1">
      <alignment horizontal="center" vertical="top" wrapText="1"/>
    </xf>
    <xf numFmtId="164" fontId="26" fillId="0" borderId="19" xfId="2" applyFont="1" applyFill="1" applyBorder="1" applyAlignment="1">
      <alignment horizontal="center" vertical="top" wrapText="1"/>
    </xf>
    <xf numFmtId="164" fontId="15" fillId="0" borderId="21" xfId="2" applyFont="1" applyFill="1" applyBorder="1" applyAlignment="1">
      <alignment vertical="top" wrapText="1"/>
    </xf>
    <xf numFmtId="164" fontId="27" fillId="5" borderId="20" xfId="2" applyFont="1" applyFill="1" applyBorder="1" applyAlignment="1">
      <alignment horizontal="right" vertical="top" wrapText="1"/>
    </xf>
    <xf numFmtId="164" fontId="26" fillId="0" borderId="22" xfId="2" applyFont="1" applyFill="1" applyBorder="1" applyAlignment="1">
      <alignment vertical="top" wrapText="1"/>
    </xf>
    <xf numFmtId="164" fontId="28" fillId="0" borderId="20" xfId="2" applyFont="1" applyFill="1" applyBorder="1" applyAlignment="1">
      <alignment horizontal="right" vertical="top" wrapText="1"/>
    </xf>
    <xf numFmtId="164" fontId="24" fillId="5" borderId="22" xfId="2" applyFont="1" applyFill="1" applyBorder="1" applyAlignment="1">
      <alignment vertical="top" wrapText="1"/>
    </xf>
    <xf numFmtId="164" fontId="20" fillId="0" borderId="0" xfId="2" applyFont="1" applyFill="1" applyBorder="1" applyAlignment="1">
      <alignment wrapText="1"/>
    </xf>
    <xf numFmtId="165" fontId="20" fillId="0" borderId="0" xfId="1" applyNumberFormat="1" applyFont="1" applyFill="1" applyBorder="1" applyAlignment="1"/>
    <xf numFmtId="164" fontId="4" fillId="0" borderId="0" xfId="2" applyFont="1" applyFill="1" applyAlignment="1">
      <alignment horizontal="center"/>
    </xf>
    <xf numFmtId="0" fontId="0" fillId="0" borderId="0" xfId="0"/>
    <xf numFmtId="164" fontId="10" fillId="0" borderId="24" xfId="2" applyFont="1" applyFill="1" applyBorder="1" applyAlignment="1">
      <alignment horizontal="center"/>
    </xf>
    <xf numFmtId="166" fontId="11" fillId="0" borderId="25" xfId="2" applyNumberFormat="1" applyFont="1" applyFill="1" applyBorder="1" applyAlignment="1"/>
    <xf numFmtId="166" fontId="10" fillId="3" borderId="25" xfId="2" applyNumberFormat="1" applyFont="1" applyFill="1" applyBorder="1" applyAlignment="1"/>
    <xf numFmtId="166" fontId="10" fillId="0" borderId="25" xfId="2" applyNumberFormat="1" applyFont="1" applyFill="1" applyBorder="1" applyAlignment="1"/>
    <xf numFmtId="166" fontId="11" fillId="0" borderId="26" xfId="2" applyNumberFormat="1" applyFont="1" applyFill="1" applyBorder="1" applyAlignment="1"/>
    <xf numFmtId="164" fontId="24" fillId="0" borderId="27" xfId="2" applyFont="1" applyFill="1" applyBorder="1" applyAlignment="1">
      <alignment horizontal="center"/>
    </xf>
    <xf numFmtId="164" fontId="28" fillId="7" borderId="12" xfId="2" applyFont="1" applyFill="1" applyBorder="1" applyAlignment="1">
      <alignment horizontal="right" vertical="top" wrapText="1"/>
    </xf>
    <xf numFmtId="164" fontId="27" fillId="5" borderId="28" xfId="2" applyFont="1" applyFill="1" applyBorder="1" applyAlignment="1">
      <alignment horizontal="right" vertical="top" wrapText="1"/>
    </xf>
    <xf numFmtId="0" fontId="29" fillId="0" borderId="0" xfId="0" applyFont="1" applyAlignment="1">
      <alignment wrapText="1"/>
    </xf>
    <xf numFmtId="49" fontId="15" fillId="0" borderId="16" xfId="0" applyNumberFormat="1" applyFont="1" applyBorder="1" applyAlignment="1">
      <alignment wrapText="1"/>
    </xf>
    <xf numFmtId="167" fontId="15" fillId="0" borderId="12" xfId="3" applyNumberFormat="1" applyFont="1" applyFill="1" applyBorder="1" applyAlignment="1">
      <alignment horizontal="right"/>
    </xf>
    <xf numFmtId="164" fontId="15" fillId="0" borderId="23" xfId="2" applyFont="1" applyFill="1" applyBorder="1" applyAlignment="1"/>
    <xf numFmtId="164" fontId="15" fillId="0" borderId="12" xfId="2" applyFont="1" applyFill="1" applyBorder="1" applyAlignment="1"/>
    <xf numFmtId="167" fontId="20" fillId="0" borderId="0" xfId="3" applyNumberFormat="1" applyFont="1" applyFill="1" applyAlignment="1"/>
    <xf numFmtId="166" fontId="10" fillId="3" borderId="24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6" fontId="10" fillId="3" borderId="30" xfId="2" applyNumberFormat="1" applyFont="1" applyFill="1" applyBorder="1" applyAlignment="1"/>
    <xf numFmtId="0" fontId="0" fillId="0" borderId="0" xfId="0"/>
    <xf numFmtId="171" fontId="15" fillId="0" borderId="12" xfId="3" applyNumberFormat="1" applyFont="1" applyFill="1" applyBorder="1" applyAlignment="1">
      <alignment horizontal="right"/>
    </xf>
    <xf numFmtId="171" fontId="15" fillId="0" borderId="12" xfId="3" applyNumberFormat="1" applyFont="1" applyFill="1" applyBorder="1" applyAlignment="1"/>
    <xf numFmtId="171" fontId="15" fillId="0" borderId="13" xfId="3" applyNumberFormat="1" applyFont="1" applyFill="1" applyBorder="1" applyAlignment="1"/>
    <xf numFmtId="0" fontId="0" fillId="0" borderId="0" xfId="0"/>
    <xf numFmtId="164" fontId="20" fillId="0" borderId="0" xfId="2" applyFont="1" applyFill="1" applyAlignment="1">
      <alignment horizontal="center"/>
    </xf>
    <xf numFmtId="166" fontId="11" fillId="0" borderId="6" xfId="2" applyNumberFormat="1" applyFont="1" applyFill="1" applyBorder="1" applyAlignment="1"/>
    <xf numFmtId="165" fontId="20" fillId="0" borderId="0" xfId="1" applyNumberFormat="1" applyFont="1" applyFill="1" applyAlignment="1"/>
    <xf numFmtId="165" fontId="22" fillId="0" borderId="0" xfId="1" applyNumberFormat="1" applyFont="1" applyFill="1" applyAlignment="1"/>
    <xf numFmtId="165" fontId="21" fillId="0" borderId="0" xfId="2" applyNumberFormat="1" applyFont="1" applyFill="1" applyAlignment="1"/>
    <xf numFmtId="167" fontId="15" fillId="0" borderId="0" xfId="3" applyNumberFormat="1" applyFont="1" applyFill="1" applyAlignment="1"/>
    <xf numFmtId="167" fontId="15" fillId="0" borderId="0" xfId="3" applyNumberFormat="1" applyFont="1" applyFill="1" applyBorder="1" applyAlignment="1"/>
    <xf numFmtId="0" fontId="0" fillId="0" borderId="0" xfId="0"/>
    <xf numFmtId="167" fontId="15" fillId="0" borderId="13" xfId="3" applyNumberFormat="1" applyFont="1" applyFill="1" applyBorder="1" applyAlignment="1">
      <alignment horizontal="right"/>
    </xf>
    <xf numFmtId="167" fontId="15" fillId="0" borderId="29" xfId="3" applyNumberFormat="1" applyFont="1" applyFill="1" applyBorder="1" applyAlignment="1">
      <alignment horizontal="right"/>
    </xf>
    <xf numFmtId="0" fontId="0" fillId="0" borderId="0" xfId="0"/>
    <xf numFmtId="164" fontId="27" fillId="5" borderId="32" xfId="2" applyFont="1" applyFill="1" applyBorder="1" applyAlignment="1">
      <alignment horizontal="right" vertical="top" wrapText="1"/>
    </xf>
    <xf numFmtId="164" fontId="28" fillId="0" borderId="33" xfId="2" applyFont="1" applyFill="1" applyBorder="1" applyAlignment="1">
      <alignment horizontal="right" vertical="top" wrapText="1"/>
    </xf>
    <xf numFmtId="164" fontId="27" fillId="5" borderId="29" xfId="2" applyFont="1" applyFill="1" applyBorder="1" applyAlignment="1">
      <alignment horizontal="right" vertical="top" wrapText="1"/>
    </xf>
    <xf numFmtId="164" fontId="28" fillId="0" borderId="12" xfId="2" applyFont="1" applyFill="1" applyBorder="1" applyAlignment="1">
      <alignment horizontal="right" vertical="top" wrapText="1"/>
    </xf>
    <xf numFmtId="164" fontId="28" fillId="0" borderId="34" xfId="2" applyFont="1" applyFill="1" applyBorder="1" applyAlignment="1">
      <alignment horizontal="right" vertical="top" wrapText="1"/>
    </xf>
    <xf numFmtId="164" fontId="27" fillId="5" borderId="37" xfId="2" applyFont="1" applyFill="1" applyBorder="1" applyAlignment="1">
      <alignment horizontal="right" vertical="top" wrapText="1"/>
    </xf>
    <xf numFmtId="164" fontId="28" fillId="0" borderId="36" xfId="2" applyFont="1" applyFill="1" applyBorder="1" applyAlignment="1">
      <alignment horizontal="right" vertical="top" wrapText="1"/>
    </xf>
    <xf numFmtId="164" fontId="28" fillId="0" borderId="38" xfId="2" applyFont="1" applyFill="1" applyBorder="1" applyAlignment="1">
      <alignment horizontal="right" vertical="top" wrapText="1"/>
    </xf>
    <xf numFmtId="164" fontId="28" fillId="0" borderId="39" xfId="2" applyFont="1" applyFill="1" applyBorder="1" applyAlignment="1">
      <alignment horizontal="right" vertical="top" wrapText="1"/>
    </xf>
    <xf numFmtId="164" fontId="27" fillId="5" borderId="40" xfId="2" applyFont="1" applyFill="1" applyBorder="1" applyAlignment="1">
      <alignment horizontal="right" vertical="top" wrapText="1"/>
    </xf>
    <xf numFmtId="164" fontId="27" fillId="5" borderId="41" xfId="2" applyFont="1" applyFill="1" applyBorder="1" applyAlignment="1">
      <alignment horizontal="right" vertical="top" wrapText="1"/>
    </xf>
    <xf numFmtId="164" fontId="24" fillId="5" borderId="21" xfId="2" applyFont="1" applyFill="1" applyBorder="1" applyAlignment="1">
      <alignment vertical="top" wrapText="1"/>
    </xf>
    <xf numFmtId="164" fontId="27" fillId="5" borderId="42" xfId="2" applyFont="1" applyFill="1" applyBorder="1" applyAlignment="1">
      <alignment horizontal="right" vertical="top" wrapText="1"/>
    </xf>
    <xf numFmtId="164" fontId="20" fillId="6" borderId="35" xfId="2" applyFont="1" applyFill="1" applyBorder="1" applyAlignment="1">
      <alignment vertical="top" wrapText="1"/>
    </xf>
    <xf numFmtId="0" fontId="30" fillId="0" borderId="43" xfId="0" applyFont="1" applyBorder="1" applyAlignment="1">
      <alignment horizontal="left" wrapText="1"/>
    </xf>
    <xf numFmtId="0" fontId="29" fillId="0" borderId="0" xfId="0" applyFont="1" applyBorder="1" applyAlignment="1">
      <alignment wrapText="1"/>
    </xf>
    <xf numFmtId="164" fontId="20" fillId="0" borderId="0" xfId="2" applyFont="1" applyFill="1" applyBorder="1" applyAlignment="1"/>
    <xf numFmtId="164" fontId="15" fillId="0" borderId="0" xfId="2" applyFont="1" applyFill="1" applyBorder="1" applyAlignment="1"/>
    <xf numFmtId="167" fontId="20" fillId="0" borderId="0" xfId="3" applyNumberFormat="1" applyFont="1" applyFill="1" applyBorder="1" applyAlignment="1"/>
    <xf numFmtId="164" fontId="20" fillId="0" borderId="0" xfId="2" applyFont="1" applyFill="1" applyAlignment="1">
      <alignment horizontal="center" vertical="center"/>
    </xf>
    <xf numFmtId="164" fontId="20" fillId="0" borderId="0" xfId="2" applyFont="1" applyFill="1" applyAlignment="1">
      <alignment horizontal="center" vertical="center" wrapText="1"/>
    </xf>
    <xf numFmtId="166" fontId="10" fillId="4" borderId="9" xfId="2" applyNumberFormat="1" applyFont="1" applyFill="1" applyBorder="1" applyAlignment="1"/>
    <xf numFmtId="166" fontId="10" fillId="0" borderId="31" xfId="2" applyNumberFormat="1" applyFont="1" applyFill="1" applyBorder="1" applyAlignment="1"/>
    <xf numFmtId="166" fontId="10" fillId="0" borderId="11" xfId="2" applyNumberFormat="1" applyFont="1" applyFill="1" applyBorder="1" applyAlignment="1"/>
    <xf numFmtId="166" fontId="10" fillId="3" borderId="12" xfId="2" applyNumberFormat="1" applyFont="1" applyFill="1" applyBorder="1" applyAlignment="1"/>
    <xf numFmtId="166" fontId="10" fillId="0" borderId="45" xfId="2" applyNumberFormat="1" applyFont="1" applyFill="1" applyBorder="1" applyAlignment="1"/>
    <xf numFmtId="166" fontId="10" fillId="0" borderId="44" xfId="2" applyNumberFormat="1" applyFont="1" applyFill="1" applyBorder="1" applyAlignment="1"/>
    <xf numFmtId="0" fontId="29" fillId="0" borderId="0" xfId="0" applyFont="1" applyAlignment="1">
      <alignment horizontal="center" vertical="center" wrapText="1"/>
    </xf>
    <xf numFmtId="164" fontId="26" fillId="0" borderId="0" xfId="2" applyFont="1" applyFill="1" applyBorder="1" applyAlignment="1">
      <alignment horizontal="center" vertical="top" wrapText="1"/>
    </xf>
    <xf numFmtId="164" fontId="26" fillId="0" borderId="21" xfId="2" applyFont="1" applyFill="1" applyBorder="1" applyAlignment="1">
      <alignment horizontal="center" vertical="top" wrapText="1"/>
    </xf>
    <xf numFmtId="164" fontId="26" fillId="0" borderId="46" xfId="2" applyFont="1" applyFill="1" applyBorder="1" applyAlignment="1">
      <alignment horizontal="center" vertical="top" wrapText="1"/>
    </xf>
    <xf numFmtId="164" fontId="26" fillId="0" borderId="47" xfId="2" applyFont="1" applyFill="1" applyBorder="1" applyAlignment="1">
      <alignment horizontal="center" vertical="top" wrapText="1"/>
    </xf>
    <xf numFmtId="164" fontId="26" fillId="0" borderId="48" xfId="2" applyFont="1" applyFill="1" applyBorder="1" applyAlignment="1">
      <alignment horizontal="center" vertical="top" wrapText="1"/>
    </xf>
    <xf numFmtId="164" fontId="26" fillId="0" borderId="18" xfId="2" applyFont="1" applyFill="1" applyBorder="1" applyAlignment="1">
      <alignment horizontal="center" vertical="center" wrapText="1"/>
    </xf>
    <xf numFmtId="169" fontId="15" fillId="0" borderId="0" xfId="3" applyFont="1" applyFill="1" applyAlignment="1"/>
    <xf numFmtId="0" fontId="0" fillId="0" borderId="0" xfId="0"/>
    <xf numFmtId="164" fontId="9" fillId="2" borderId="14" xfId="2" applyFont="1" applyFill="1" applyBorder="1" applyAlignment="1">
      <alignment horizontal="center" wrapText="1"/>
    </xf>
    <xf numFmtId="167" fontId="15" fillId="0" borderId="13" xfId="3" applyNumberFormat="1" applyFont="1" applyFill="1" applyBorder="1" applyAlignment="1">
      <alignment horizontal="right"/>
    </xf>
    <xf numFmtId="167" fontId="15" fillId="0" borderId="29" xfId="3" applyNumberFormat="1" applyFont="1" applyFill="1" applyBorder="1" applyAlignment="1">
      <alignment horizontal="right"/>
    </xf>
    <xf numFmtId="164" fontId="9" fillId="8" borderId="0" xfId="2" applyFont="1" applyFill="1" applyAlignment="1">
      <alignment horizontal="center" wrapText="1"/>
    </xf>
    <xf numFmtId="167" fontId="3" fillId="9" borderId="0" xfId="3" applyNumberFormat="1" applyFont="1" applyFill="1" applyAlignment="1"/>
    <xf numFmtId="0" fontId="0" fillId="0" borderId="0" xfId="0"/>
    <xf numFmtId="164" fontId="9" fillId="2" borderId="0" xfId="2" applyFont="1" applyFill="1" applyAlignment="1">
      <alignment horizontal="center" wrapText="1"/>
    </xf>
    <xf numFmtId="167" fontId="15" fillId="0" borderId="13" xfId="3" applyNumberFormat="1" applyFont="1" applyFill="1" applyBorder="1" applyAlignment="1">
      <alignment horizontal="right"/>
    </xf>
    <xf numFmtId="167" fontId="15" fillId="0" borderId="29" xfId="3" applyNumberFormat="1" applyFont="1" applyFill="1" applyBorder="1" applyAlignment="1">
      <alignment horizontal="right"/>
    </xf>
    <xf numFmtId="166" fontId="11" fillId="0" borderId="44" xfId="2" applyNumberFormat="1" applyFont="1" applyFill="1" applyBorder="1" applyAlignment="1"/>
    <xf numFmtId="166" fontId="11" fillId="0" borderId="30" xfId="2" applyNumberFormat="1" applyFont="1" applyFill="1" applyBorder="1" applyAlignment="1"/>
    <xf numFmtId="164" fontId="15" fillId="0" borderId="49" xfId="2" applyFont="1" applyFill="1" applyBorder="1" applyAlignment="1">
      <alignment wrapText="1"/>
    </xf>
    <xf numFmtId="164" fontId="6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6" fontId="11" fillId="0" borderId="0" xfId="2" applyNumberFormat="1" applyFont="1" applyFill="1" applyBorder="1" applyAlignment="1"/>
    <xf numFmtId="14" fontId="10" fillId="0" borderId="7" xfId="2" applyNumberFormat="1" applyFont="1" applyFill="1" applyBorder="1" applyAlignment="1">
      <alignment horizontal="center" wrapText="1"/>
    </xf>
    <xf numFmtId="164" fontId="9" fillId="2" borderId="0" xfId="2" applyFont="1" applyFill="1" applyBorder="1" applyAlignment="1">
      <alignment horizontal="center" wrapText="1"/>
    </xf>
    <xf numFmtId="171" fontId="15" fillId="0" borderId="0" xfId="3" applyNumberFormat="1" applyFont="1" applyFill="1" applyBorder="1" applyAlignment="1">
      <alignment horizontal="right"/>
    </xf>
    <xf numFmtId="166" fontId="11" fillId="0" borderId="49" xfId="2" applyNumberFormat="1" applyFont="1" applyFill="1" applyBorder="1" applyAlignment="1"/>
    <xf numFmtId="164" fontId="10" fillId="0" borderId="13" xfId="2" applyFont="1" applyFill="1" applyBorder="1" applyAlignment="1">
      <alignment horizontal="center"/>
    </xf>
    <xf numFmtId="14" fontId="10" fillId="0" borderId="29" xfId="2" applyNumberFormat="1" applyFont="1" applyFill="1" applyBorder="1" applyAlignment="1">
      <alignment horizontal="center" wrapText="1"/>
    </xf>
    <xf numFmtId="9" fontId="11" fillId="0" borderId="12" xfId="12" applyFont="1" applyFill="1" applyBorder="1" applyAlignment="1"/>
    <xf numFmtId="9" fontId="11" fillId="0" borderId="8" xfId="12" applyFont="1" applyFill="1" applyBorder="1" applyAlignment="1"/>
    <xf numFmtId="164" fontId="20" fillId="0" borderId="0" xfId="2" applyFont="1" applyFill="1" applyBorder="1" applyAlignment="1">
      <alignment horizontal="center" vertical="center" wrapText="1"/>
    </xf>
    <xf numFmtId="14" fontId="4" fillId="0" borderId="0" xfId="2" applyNumberFormat="1" applyFont="1" applyFill="1" applyBorder="1" applyAlignment="1">
      <alignment horizontal="center" vertical="center"/>
    </xf>
    <xf numFmtId="167" fontId="15" fillId="0" borderId="0" xfId="3" applyNumberFormat="1" applyFont="1" applyFill="1" applyBorder="1" applyAlignment="1">
      <alignment horizontal="center"/>
    </xf>
    <xf numFmtId="167" fontId="15" fillId="0" borderId="0" xfId="3" applyNumberFormat="1" applyFont="1" applyFill="1" applyBorder="1" applyAlignment="1">
      <alignment horizontal="right"/>
    </xf>
    <xf numFmtId="171" fontId="3" fillId="0" borderId="0" xfId="2" applyNumberFormat="1" applyFont="1" applyFill="1" applyAlignment="1"/>
    <xf numFmtId="164" fontId="15" fillId="0" borderId="12" xfId="2" applyFont="1" applyFill="1" applyBorder="1" applyAlignment="1">
      <alignment wrapText="1"/>
    </xf>
    <xf numFmtId="172" fontId="15" fillId="0" borderId="0" xfId="2" applyNumberFormat="1" applyFont="1" applyFill="1" applyAlignment="1"/>
    <xf numFmtId="0" fontId="0" fillId="0" borderId="0" xfId="0"/>
    <xf numFmtId="14" fontId="10" fillId="0" borderId="11" xfId="2" applyNumberFormat="1" applyFont="1" applyFill="1" applyBorder="1" applyAlignment="1">
      <alignment horizontal="center" wrapText="1"/>
    </xf>
    <xf numFmtId="171" fontId="15" fillId="6" borderId="12" xfId="3" applyNumberFormat="1" applyFont="1" applyFill="1" applyBorder="1" applyAlignment="1">
      <alignment horizontal="right"/>
    </xf>
    <xf numFmtId="164" fontId="27" fillId="5" borderId="50" xfId="2" applyFont="1" applyFill="1" applyBorder="1" applyAlignment="1">
      <alignment horizontal="right" vertical="top" wrapText="1"/>
    </xf>
    <xf numFmtId="164" fontId="28" fillId="0" borderId="50" xfId="2" applyFont="1" applyFill="1" applyBorder="1" applyAlignment="1">
      <alignment horizontal="right" vertical="top" wrapText="1"/>
    </xf>
    <xf numFmtId="164" fontId="28" fillId="0" borderId="0" xfId="2" applyFont="1" applyFill="1" applyBorder="1" applyAlignment="1">
      <alignment horizontal="right" vertical="top" wrapText="1"/>
    </xf>
    <xf numFmtId="164" fontId="28" fillId="0" borderId="49" xfId="2" applyFont="1" applyFill="1" applyBorder="1" applyAlignment="1">
      <alignment horizontal="right" vertical="top" wrapText="1"/>
    </xf>
    <xf numFmtId="164" fontId="27" fillId="5" borderId="0" xfId="2" applyFont="1" applyFill="1" applyBorder="1" applyAlignment="1">
      <alignment horizontal="right" vertical="top" wrapText="1"/>
    </xf>
    <xf numFmtId="164" fontId="28" fillId="0" borderId="51" xfId="2" applyFont="1" applyFill="1" applyBorder="1" applyAlignment="1">
      <alignment horizontal="right" vertical="top" wrapText="1"/>
    </xf>
    <xf numFmtId="164" fontId="27" fillId="5" borderId="52" xfId="2" applyFont="1" applyFill="1" applyBorder="1" applyAlignment="1">
      <alignment horizontal="right" vertical="top" wrapText="1"/>
    </xf>
    <xf numFmtId="164" fontId="27" fillId="5" borderId="12" xfId="2" applyFont="1" applyFill="1" applyBorder="1" applyAlignment="1">
      <alignment horizontal="right" vertical="top" wrapText="1"/>
    </xf>
    <xf numFmtId="164" fontId="27" fillId="5" borderId="48" xfId="2" applyFont="1" applyFill="1" applyBorder="1" applyAlignment="1">
      <alignment horizontal="right" vertical="top" wrapText="1"/>
    </xf>
    <xf numFmtId="0" fontId="29" fillId="0" borderId="0" xfId="0" applyFont="1"/>
    <xf numFmtId="0" fontId="32" fillId="10" borderId="0" xfId="0" applyFont="1" applyFill="1" applyAlignment="1">
      <alignment horizontal="center" vertical="top" wrapText="1"/>
    </xf>
    <xf numFmtId="0" fontId="33" fillId="10" borderId="0" xfId="0" applyFont="1" applyFill="1" applyAlignment="1">
      <alignment horizontal="center" vertical="top" wrapText="1"/>
    </xf>
    <xf numFmtId="0" fontId="34" fillId="0" borderId="12" xfId="0" applyFont="1" applyBorder="1" applyAlignment="1">
      <alignment horizontal="center" vertical="top" wrapText="1"/>
    </xf>
    <xf numFmtId="0" fontId="34" fillId="0" borderId="12" xfId="0" applyFont="1" applyBorder="1" applyAlignment="1">
      <alignment horizontal="left" vertical="top" wrapText="1"/>
    </xf>
    <xf numFmtId="171" fontId="34" fillId="0" borderId="12" xfId="0" applyNumberFormat="1" applyFont="1" applyBorder="1" applyAlignment="1">
      <alignment horizontal="right" vertical="top" wrapText="1"/>
    </xf>
    <xf numFmtId="0" fontId="35" fillId="0" borderId="12" xfId="0" applyFont="1" applyBorder="1" applyAlignment="1">
      <alignment horizontal="center" vertical="top" wrapText="1"/>
    </xf>
    <xf numFmtId="0" fontId="35" fillId="0" borderId="12" xfId="0" applyFont="1" applyBorder="1" applyAlignment="1">
      <alignment horizontal="left" vertical="top" wrapText="1"/>
    </xf>
    <xf numFmtId="171" fontId="35" fillId="0" borderId="12" xfId="0" applyNumberFormat="1" applyFont="1" applyBorder="1" applyAlignment="1">
      <alignment horizontal="right" vertical="top" wrapText="1"/>
    </xf>
    <xf numFmtId="0" fontId="36" fillId="0" borderId="12" xfId="0" applyFont="1" applyBorder="1" applyAlignment="1">
      <alignment horizontal="center" vertical="top" wrapText="1"/>
    </xf>
    <xf numFmtId="0" fontId="36" fillId="0" borderId="12" xfId="0" applyFont="1" applyBorder="1" applyAlignment="1">
      <alignment horizontal="left" vertical="top" wrapText="1"/>
    </xf>
    <xf numFmtId="171" fontId="36" fillId="0" borderId="12" xfId="0" applyNumberFormat="1" applyFont="1" applyBorder="1" applyAlignment="1">
      <alignment horizontal="right" vertical="top" wrapText="1"/>
    </xf>
    <xf numFmtId="0" fontId="37" fillId="0" borderId="12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left" vertical="top" wrapText="1"/>
    </xf>
    <xf numFmtId="171" fontId="37" fillId="0" borderId="12" xfId="0" applyNumberFormat="1" applyFont="1" applyBorder="1" applyAlignment="1">
      <alignment horizontal="right" vertical="top" wrapText="1"/>
    </xf>
    <xf numFmtId="0" fontId="37" fillId="11" borderId="12" xfId="0" applyFont="1" applyFill="1" applyBorder="1" applyAlignment="1">
      <alignment horizontal="center" vertical="top" wrapText="1"/>
    </xf>
    <xf numFmtId="0" fontId="37" fillId="11" borderId="12" xfId="0" applyFont="1" applyFill="1" applyBorder="1" applyAlignment="1">
      <alignment horizontal="left" vertical="top" wrapText="1"/>
    </xf>
    <xf numFmtId="171" fontId="37" fillId="11" borderId="12" xfId="0" applyNumberFormat="1" applyFont="1" applyFill="1" applyBorder="1" applyAlignment="1">
      <alignment horizontal="right" vertical="top" wrapText="1"/>
    </xf>
    <xf numFmtId="0" fontId="36" fillId="11" borderId="12" xfId="0" applyFont="1" applyFill="1" applyBorder="1" applyAlignment="1">
      <alignment horizontal="center" vertical="top" wrapText="1"/>
    </xf>
    <xf numFmtId="0" fontId="36" fillId="11" borderId="12" xfId="0" applyFont="1" applyFill="1" applyBorder="1" applyAlignment="1">
      <alignment horizontal="left" vertical="top" wrapText="1"/>
    </xf>
    <xf numFmtId="171" fontId="36" fillId="11" borderId="12" xfId="0" applyNumberFormat="1" applyFont="1" applyFill="1" applyBorder="1" applyAlignment="1">
      <alignment horizontal="right" vertical="top" wrapText="1"/>
    </xf>
    <xf numFmtId="173" fontId="35" fillId="0" borderId="12" xfId="0" applyNumberFormat="1" applyFont="1" applyBorder="1" applyAlignment="1">
      <alignment horizontal="right" vertical="top" wrapText="1"/>
    </xf>
    <xf numFmtId="173" fontId="37" fillId="0" borderId="12" xfId="0" applyNumberFormat="1" applyFont="1" applyBorder="1" applyAlignment="1">
      <alignment horizontal="right" vertical="top" wrapText="1"/>
    </xf>
    <xf numFmtId="173" fontId="37" fillId="11" borderId="12" xfId="0" applyNumberFormat="1" applyFont="1" applyFill="1" applyBorder="1" applyAlignment="1">
      <alignment horizontal="right" vertical="top" wrapText="1"/>
    </xf>
    <xf numFmtId="0" fontId="37" fillId="0" borderId="0" xfId="0" applyFont="1" applyFill="1" applyBorder="1" applyAlignment="1">
      <alignment horizontal="left" vertical="top" wrapText="1"/>
    </xf>
    <xf numFmtId="3" fontId="35" fillId="0" borderId="12" xfId="0" applyNumberFormat="1" applyFont="1" applyBorder="1" applyAlignment="1">
      <alignment horizontal="right" vertical="top" wrapText="1"/>
    </xf>
    <xf numFmtId="3" fontId="37" fillId="0" borderId="12" xfId="0" applyNumberFormat="1" applyFont="1" applyBorder="1" applyAlignment="1">
      <alignment horizontal="right" vertical="top" wrapText="1"/>
    </xf>
    <xf numFmtId="3" fontId="37" fillId="11" borderId="12" xfId="0" applyNumberFormat="1" applyFont="1" applyFill="1" applyBorder="1" applyAlignment="1">
      <alignment horizontal="right" vertical="top" wrapText="1"/>
    </xf>
    <xf numFmtId="171" fontId="35" fillId="6" borderId="12" xfId="0" applyNumberFormat="1" applyFont="1" applyFill="1" applyBorder="1" applyAlignment="1">
      <alignment horizontal="right" vertical="top" wrapText="1"/>
    </xf>
    <xf numFmtId="171" fontId="37" fillId="6" borderId="12" xfId="0" applyNumberFormat="1" applyFont="1" applyFill="1" applyBorder="1" applyAlignment="1">
      <alignment horizontal="right" vertical="top" wrapText="1"/>
    </xf>
    <xf numFmtId="0" fontId="37" fillId="12" borderId="12" xfId="0" applyFont="1" applyFill="1" applyBorder="1" applyAlignment="1">
      <alignment horizontal="center" vertical="top" wrapText="1"/>
    </xf>
    <xf numFmtId="0" fontId="37" fillId="12" borderId="12" xfId="0" applyFont="1" applyFill="1" applyBorder="1" applyAlignment="1">
      <alignment horizontal="left" vertical="top" wrapText="1"/>
    </xf>
    <xf numFmtId="171" fontId="37" fillId="12" borderId="12" xfId="0" applyNumberFormat="1" applyFont="1" applyFill="1" applyBorder="1" applyAlignment="1">
      <alignment horizontal="right" vertical="top" wrapText="1"/>
    </xf>
    <xf numFmtId="171" fontId="0" fillId="0" borderId="0" xfId="0" applyNumberFormat="1"/>
    <xf numFmtId="3" fontId="0" fillId="0" borderId="0" xfId="0" applyNumberFormat="1"/>
    <xf numFmtId="171" fontId="29" fillId="0" borderId="0" xfId="0" applyNumberFormat="1" applyFont="1"/>
    <xf numFmtId="0" fontId="29" fillId="0" borderId="0" xfId="0" applyFont="1" applyFill="1" applyBorder="1"/>
    <xf numFmtId="171" fontId="0" fillId="0" borderId="12" xfId="0" applyNumberFormat="1" applyBorder="1"/>
    <xf numFmtId="171" fontId="0" fillId="0" borderId="0" xfId="0" applyNumberFormat="1" applyBorder="1"/>
    <xf numFmtId="0" fontId="0" fillId="0" borderId="0" xfId="0" applyBorder="1"/>
    <xf numFmtId="0" fontId="0" fillId="0" borderId="0" xfId="0" applyFill="1" applyBorder="1"/>
    <xf numFmtId="171" fontId="0" fillId="0" borderId="34" xfId="0" applyNumberFormat="1" applyBorder="1"/>
    <xf numFmtId="0" fontId="0" fillId="0" borderId="34" xfId="0" applyBorder="1"/>
    <xf numFmtId="0" fontId="0" fillId="0" borderId="53" xfId="0" applyBorder="1"/>
    <xf numFmtId="0" fontId="38" fillId="0" borderId="0" xfId="0" applyFont="1"/>
    <xf numFmtId="0" fontId="0" fillId="0" borderId="49" xfId="0" applyFill="1" applyBorder="1"/>
    <xf numFmtId="3" fontId="0" fillId="0" borderId="0" xfId="0" applyNumberFormat="1" applyBorder="1"/>
    <xf numFmtId="171" fontId="38" fillId="0" borderId="0" xfId="0" applyNumberFormat="1" applyFont="1"/>
    <xf numFmtId="0" fontId="0" fillId="0" borderId="49" xfId="0" applyBorder="1"/>
    <xf numFmtId="171" fontId="29" fillId="0" borderId="0" xfId="3" applyNumberFormat="1" applyFont="1" applyBorder="1"/>
    <xf numFmtId="0" fontId="29" fillId="0" borderId="0" xfId="0" applyFont="1" applyBorder="1"/>
    <xf numFmtId="0" fontId="29" fillId="0" borderId="0" xfId="0" quotePrefix="1" applyFont="1" applyBorder="1"/>
    <xf numFmtId="171" fontId="29" fillId="0" borderId="12" xfId="3" applyNumberFormat="1" applyFont="1" applyBorder="1"/>
    <xf numFmtId="0" fontId="29" fillId="0" borderId="12" xfId="0" applyFont="1" applyBorder="1"/>
    <xf numFmtId="0" fontId="0" fillId="0" borderId="12" xfId="0" applyBorder="1"/>
    <xf numFmtId="171" fontId="0" fillId="0" borderId="12" xfId="3" applyNumberFormat="1" applyFont="1" applyBorder="1"/>
    <xf numFmtId="0" fontId="0" fillId="0" borderId="12" xfId="0" applyBorder="1" applyAlignment="1">
      <alignment horizontal="right"/>
    </xf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 wrapText="1"/>
    </xf>
    <xf numFmtId="3" fontId="0" fillId="0" borderId="12" xfId="0" applyNumberFormat="1" applyBorder="1"/>
    <xf numFmtId="0" fontId="26" fillId="0" borderId="0" xfId="0" applyFont="1"/>
    <xf numFmtId="0" fontId="24" fillId="0" borderId="0" xfId="0" applyFont="1"/>
    <xf numFmtId="0" fontId="0" fillId="0" borderId="0" xfId="0"/>
    <xf numFmtId="0" fontId="29" fillId="0" borderId="0" xfId="0" applyFont="1" applyAlignment="1"/>
    <xf numFmtId="0" fontId="39" fillId="0" borderId="0" xfId="13" applyFont="1"/>
    <xf numFmtId="0" fontId="1" fillId="0" borderId="0" xfId="13"/>
    <xf numFmtId="0" fontId="1" fillId="0" borderId="12" xfId="13" quotePrefix="1" applyBorder="1" applyAlignment="1">
      <alignment wrapText="1"/>
    </xf>
    <xf numFmtId="171" fontId="1" fillId="0" borderId="12" xfId="13" applyNumberFormat="1" applyBorder="1"/>
    <xf numFmtId="0" fontId="1" fillId="0" borderId="12" xfId="13" quotePrefix="1" applyFont="1" applyBorder="1" applyAlignment="1">
      <alignment wrapText="1"/>
    </xf>
    <xf numFmtId="171" fontId="1" fillId="0" borderId="0" xfId="13" applyNumberFormat="1"/>
    <xf numFmtId="0" fontId="39" fillId="0" borderId="0" xfId="13" applyFont="1" applyAlignment="1">
      <alignment wrapText="1"/>
    </xf>
    <xf numFmtId="171" fontId="39" fillId="0" borderId="0" xfId="13" applyNumberFormat="1" applyFont="1"/>
    <xf numFmtId="171" fontId="40" fillId="0" borderId="12" xfId="0" applyNumberFormat="1" applyFont="1" applyBorder="1"/>
    <xf numFmtId="0" fontId="39" fillId="0" borderId="0" xfId="13" applyFont="1" applyAlignment="1">
      <alignment horizontal="center"/>
    </xf>
    <xf numFmtId="0" fontId="39" fillId="0" borderId="34" xfId="13" applyFont="1" applyBorder="1"/>
    <xf numFmtId="0" fontId="39" fillId="0" borderId="12" xfId="13" applyFont="1" applyBorder="1"/>
    <xf numFmtId="0" fontId="41" fillId="0" borderId="12" xfId="13" applyFont="1" applyBorder="1" applyAlignment="1">
      <alignment wrapText="1"/>
    </xf>
    <xf numFmtId="0" fontId="0" fillId="0" borderId="0" xfId="0" applyBorder="1" applyAlignment="1">
      <alignment horizontal="center" vertical="center" textRotation="90"/>
    </xf>
    <xf numFmtId="171" fontId="29" fillId="0" borderId="12" xfId="0" applyNumberFormat="1" applyFont="1" applyBorder="1"/>
    <xf numFmtId="171" fontId="29" fillId="0" borderId="0" xfId="0" applyNumberFormat="1" applyFont="1" applyBorder="1"/>
    <xf numFmtId="9" fontId="29" fillId="0" borderId="12" xfId="12" applyFont="1" applyBorder="1"/>
    <xf numFmtId="0" fontId="41" fillId="0" borderId="12" xfId="13" applyFont="1" applyFill="1" applyBorder="1" applyAlignment="1">
      <alignment wrapText="1"/>
    </xf>
    <xf numFmtId="0" fontId="29" fillId="0" borderId="0" xfId="0" applyFont="1" applyBorder="1" applyAlignment="1">
      <alignment horizontal="left"/>
    </xf>
    <xf numFmtId="0" fontId="0" fillId="0" borderId="0" xfId="0" applyAlignment="1">
      <alignment wrapText="1"/>
    </xf>
    <xf numFmtId="171" fontId="0" fillId="0" borderId="12" xfId="0" applyNumberFormat="1" applyBorder="1" applyAlignment="1">
      <alignment horizontal="left"/>
    </xf>
    <xf numFmtId="171" fontId="0" fillId="6" borderId="12" xfId="0" applyNumberFormat="1" applyFill="1" applyBorder="1" applyAlignment="1">
      <alignment horizontal="left"/>
    </xf>
    <xf numFmtId="0" fontId="42" fillId="0" borderId="0" xfId="14" applyFont="1" applyFill="1" applyBorder="1"/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 indent="4"/>
    </xf>
    <xf numFmtId="0" fontId="0" fillId="0" borderId="0" xfId="0"/>
    <xf numFmtId="164" fontId="24" fillId="0" borderId="0" xfId="2" applyFont="1" applyFill="1" applyAlignment="1">
      <alignment horizontal="center"/>
    </xf>
    <xf numFmtId="167" fontId="46" fillId="0" borderId="0" xfId="3" applyNumberFormat="1" applyFont="1" applyFill="1" applyAlignment="1"/>
    <xf numFmtId="171" fontId="46" fillId="0" borderId="0" xfId="2" applyNumberFormat="1" applyFont="1" applyFill="1" applyAlignment="1"/>
    <xf numFmtId="164" fontId="46" fillId="0" borderId="0" xfId="2" applyFont="1" applyFill="1" applyAlignment="1"/>
    <xf numFmtId="167" fontId="46" fillId="0" borderId="0" xfId="3" applyNumberFormat="1" applyFont="1" applyFill="1" applyAlignment="1">
      <alignment wrapText="1"/>
    </xf>
    <xf numFmtId="167" fontId="46" fillId="0" borderId="0" xfId="3" applyNumberFormat="1" applyFont="1" applyFill="1" applyBorder="1" applyAlignment="1"/>
    <xf numFmtId="167" fontId="46" fillId="0" borderId="0" xfId="3" applyNumberFormat="1" applyFont="1" applyFill="1" applyBorder="1" applyAlignment="1">
      <alignment horizontal="center"/>
    </xf>
    <xf numFmtId="167" fontId="47" fillId="0" borderId="0" xfId="3" applyNumberFormat="1" applyFont="1" applyFill="1" applyBorder="1" applyAlignment="1"/>
    <xf numFmtId="0" fontId="30" fillId="0" borderId="0" xfId="14" applyFont="1" applyBorder="1"/>
    <xf numFmtId="0" fontId="42" fillId="0" borderId="0" xfId="14" applyFont="1" applyBorder="1"/>
    <xf numFmtId="14" fontId="30" fillId="0" borderId="0" xfId="14" applyNumberFormat="1" applyFont="1" applyBorder="1"/>
    <xf numFmtId="3" fontId="43" fillId="0" borderId="0" xfId="15" applyNumberFormat="1" applyFont="1" applyBorder="1"/>
    <xf numFmtId="3" fontId="43" fillId="0" borderId="0" xfId="15" applyNumberFormat="1" applyFont="1" applyFill="1" applyBorder="1"/>
    <xf numFmtId="0" fontId="1" fillId="0" borderId="0" xfId="14" applyBorder="1"/>
    <xf numFmtId="3" fontId="1" fillId="0" borderId="0" xfId="14" applyNumberFormat="1" applyBorder="1"/>
    <xf numFmtId="164" fontId="4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6" fillId="0" borderId="0" xfId="2" applyFont="1" applyFill="1" applyAlignment="1">
      <alignment horizontal="center"/>
    </xf>
    <xf numFmtId="0" fontId="0" fillId="0" borderId="0" xfId="0"/>
    <xf numFmtId="164" fontId="14" fillId="0" borderId="0" xfId="2" applyFont="1" applyFill="1" applyAlignment="1">
      <alignment horizontal="center"/>
    </xf>
    <xf numFmtId="164" fontId="8" fillId="0" borderId="0" xfId="2" applyFont="1" applyFill="1" applyAlignment="1">
      <alignment horizontal="center"/>
    </xf>
    <xf numFmtId="164" fontId="9" fillId="2" borderId="14" xfId="2" applyFont="1" applyFill="1" applyBorder="1" applyAlignment="1">
      <alignment horizontal="center" wrapText="1"/>
    </xf>
    <xf numFmtId="164" fontId="10" fillId="0" borderId="0" xfId="2" applyFont="1" applyFill="1" applyBorder="1" applyAlignment="1">
      <alignment horizontal="center" wrapText="1"/>
    </xf>
    <xf numFmtId="164" fontId="10" fillId="0" borderId="14" xfId="2" applyFont="1" applyFill="1" applyBorder="1" applyAlignment="1">
      <alignment horizontal="center" wrapText="1"/>
    </xf>
    <xf numFmtId="167" fontId="15" fillId="0" borderId="13" xfId="3" applyNumberFormat="1" applyFont="1" applyFill="1" applyBorder="1" applyAlignment="1">
      <alignment horizontal="center"/>
    </xf>
    <xf numFmtId="167" fontId="15" fillId="0" borderId="29" xfId="3" applyNumberFormat="1" applyFont="1" applyFill="1" applyBorder="1" applyAlignment="1">
      <alignment horizontal="center"/>
    </xf>
    <xf numFmtId="164" fontId="15" fillId="0" borderId="0" xfId="2" applyFont="1" applyFill="1" applyAlignment="1">
      <alignment horizontal="left" wrapText="1"/>
    </xf>
    <xf numFmtId="167" fontId="15" fillId="0" borderId="13" xfId="3" applyNumberFormat="1" applyFont="1" applyFill="1" applyBorder="1" applyAlignment="1">
      <alignment horizontal="right"/>
    </xf>
    <xf numFmtId="167" fontId="15" fillId="0" borderId="29" xfId="3" applyNumberFormat="1" applyFont="1" applyFill="1" applyBorder="1" applyAlignment="1">
      <alignment horizontal="right"/>
    </xf>
    <xf numFmtId="167" fontId="15" fillId="0" borderId="0" xfId="3" applyNumberFormat="1" applyFont="1" applyFill="1" applyBorder="1" applyAlignment="1">
      <alignment horizontal="center"/>
    </xf>
    <xf numFmtId="164" fontId="10" fillId="0" borderId="13" xfId="2" applyFont="1" applyFill="1" applyBorder="1" applyAlignment="1">
      <alignment horizontal="center" wrapText="1"/>
    </xf>
    <xf numFmtId="164" fontId="10" fillId="0" borderId="29" xfId="2" applyFont="1" applyFill="1" applyBorder="1" applyAlignment="1">
      <alignment horizontal="center" wrapText="1"/>
    </xf>
    <xf numFmtId="165" fontId="22" fillId="0" borderId="0" xfId="2" applyNumberFormat="1" applyFont="1" applyFill="1" applyAlignment="1">
      <alignment horizontal="left"/>
    </xf>
    <xf numFmtId="164" fontId="20" fillId="0" borderId="0" xfId="2" applyFont="1" applyFill="1" applyAlignment="1">
      <alignment horizontal="center"/>
    </xf>
    <xf numFmtId="164" fontId="24" fillId="0" borderId="0" xfId="2" applyFont="1" applyFill="1" applyAlignment="1">
      <alignment horizontal="center"/>
    </xf>
    <xf numFmtId="164" fontId="24" fillId="0" borderId="0" xfId="2" applyFont="1" applyFill="1" applyAlignment="1">
      <alignment horizontal="center" wrapText="1"/>
    </xf>
    <xf numFmtId="0" fontId="29" fillId="0" borderId="0" xfId="0" applyFont="1" applyAlignment="1">
      <alignment horizontal="center"/>
    </xf>
    <xf numFmtId="0" fontId="0" fillId="0" borderId="49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164" fontId="15" fillId="0" borderId="49" xfId="2" applyFont="1" applyFill="1" applyBorder="1" applyAlignment="1">
      <alignment horizontal="left" wrapText="1"/>
    </xf>
    <xf numFmtId="164" fontId="15" fillId="0" borderId="53" xfId="2" applyFont="1" applyFill="1" applyBorder="1" applyAlignment="1">
      <alignment horizontal="left" wrapText="1"/>
    </xf>
    <xf numFmtId="164" fontId="15" fillId="0" borderId="34" xfId="2" applyFont="1" applyFill="1" applyBorder="1" applyAlignment="1">
      <alignment horizontal="left" wrapText="1"/>
    </xf>
    <xf numFmtId="0" fontId="33" fillId="10" borderId="0" xfId="0" applyFont="1" applyFill="1" applyAlignment="1">
      <alignment horizontal="center" vertical="top" wrapText="1"/>
    </xf>
    <xf numFmtId="0" fontId="37" fillId="0" borderId="0" xfId="0" applyFont="1" applyFill="1" applyBorder="1" applyAlignment="1">
      <alignment horizontal="left" vertical="top" wrapText="1"/>
    </xf>
    <xf numFmtId="0" fontId="32" fillId="10" borderId="0" xfId="0" applyFont="1" applyFill="1" applyAlignment="1">
      <alignment horizontal="center" vertical="top" wrapText="1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 wrapText="1"/>
    </xf>
    <xf numFmtId="0" fontId="39" fillId="0" borderId="49" xfId="13" applyFont="1" applyBorder="1" applyAlignment="1">
      <alignment horizontal="left" wrapText="1"/>
    </xf>
    <xf numFmtId="0" fontId="39" fillId="0" borderId="34" xfId="13" applyFont="1" applyBorder="1" applyAlignment="1">
      <alignment horizontal="left" wrapText="1"/>
    </xf>
    <xf numFmtId="0" fontId="29" fillId="0" borderId="13" xfId="0" applyFont="1" applyBorder="1" applyAlignment="1">
      <alignment horizontal="left"/>
    </xf>
    <xf numFmtId="0" fontId="29" fillId="0" borderId="57" xfId="0" applyFont="1" applyBorder="1" applyAlignment="1">
      <alignment horizontal="left" wrapText="1"/>
    </xf>
    <xf numFmtId="0" fontId="29" fillId="0" borderId="58" xfId="0" applyFont="1" applyBorder="1" applyAlignment="1">
      <alignment horizontal="left" wrapText="1"/>
    </xf>
    <xf numFmtId="0" fontId="39" fillId="0" borderId="12" xfId="13" applyFont="1" applyBorder="1" applyAlignment="1">
      <alignment horizontal="left" wrapText="1"/>
    </xf>
    <xf numFmtId="0" fontId="39" fillId="0" borderId="0" xfId="13" applyFont="1" applyAlignment="1">
      <alignment horizontal="center" wrapText="1"/>
    </xf>
    <xf numFmtId="0" fontId="39" fillId="0" borderId="0" xfId="13" applyFont="1" applyAlignment="1">
      <alignment horizontal="center"/>
    </xf>
    <xf numFmtId="0" fontId="0" fillId="0" borderId="54" xfId="0" applyBorder="1" applyAlignment="1">
      <alignment horizontal="center" vertical="center" textRotation="90"/>
    </xf>
    <xf numFmtId="0" fontId="0" fillId="0" borderId="55" xfId="0" applyBorder="1" applyAlignment="1">
      <alignment horizontal="center" vertical="center" textRotation="90"/>
    </xf>
    <xf numFmtId="0" fontId="0" fillId="0" borderId="56" xfId="0" applyBorder="1" applyAlignment="1">
      <alignment horizontal="center" vertical="center" textRotation="90"/>
    </xf>
    <xf numFmtId="0" fontId="39" fillId="0" borderId="34" xfId="13" applyFont="1" applyBorder="1" applyAlignment="1">
      <alignment horizontal="left"/>
    </xf>
    <xf numFmtId="0" fontId="39" fillId="0" borderId="12" xfId="13" applyFont="1" applyBorder="1" applyAlignment="1">
      <alignment horizontal="left"/>
    </xf>
    <xf numFmtId="0" fontId="39" fillId="0" borderId="53" xfId="13" applyFont="1" applyBorder="1" applyAlignment="1">
      <alignment horizontal="left" wrapText="1"/>
    </xf>
    <xf numFmtId="0" fontId="44" fillId="0" borderId="0" xfId="0" applyFont="1" applyBorder="1" applyAlignment="1">
      <alignment horizontal="center" wrapText="1"/>
    </xf>
    <xf numFmtId="0" fontId="0" fillId="0" borderId="12" xfId="0" applyBorder="1" applyAlignment="1">
      <alignment horizontal="left" wrapText="1"/>
    </xf>
    <xf numFmtId="0" fontId="0" fillId="0" borderId="12" xfId="0" applyBorder="1" applyAlignment="1">
      <alignment horizontal="center" wrapText="1"/>
    </xf>
    <xf numFmtId="0" fontId="0" fillId="0" borderId="0" xfId="0" applyAlignment="1">
      <alignment horizontal="left" wrapText="1"/>
    </xf>
  </cellXfs>
  <cellStyles count="16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3 2" xfId="15"/>
    <cellStyle name="Normál 4" xfId="9"/>
    <cellStyle name="Normál 7" xfId="13"/>
    <cellStyle name="Normál 8" xfId="14"/>
    <cellStyle name="Result" xfId="10"/>
    <cellStyle name="Result2" xfId="11"/>
    <cellStyle name="Százalék" xfId="12" builtinId="5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9\Tervez&#233;s\T&#233;rs&#233;gi%20T&#225;rsul&#225;s\T&#233;rs&#233;gi%20T&#225;rsul&#225;s%20komplex%20k&#246;lts&#233;gvt&#233;s%202019%20ja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20190104"/>
      <sheetName val="CSGYK Jub.jutalom és felm.bér"/>
      <sheetName val="CSGYK bértervezet 12.10"/>
      <sheetName val="Engedélyezett létszám (2)"/>
      <sheetName val="CSGYK bértervezet 01.04"/>
      <sheetName val="CSGYK jub,felm.javított"/>
      <sheetName val="Eng. létszám CSGYK javított"/>
      <sheetName val="bérváltozás kimutatás CSGYK"/>
      <sheetName val="KESZI 20190104"/>
      <sheetName val="KESZI 2019 bértervezet 12.10"/>
      <sheetName val="KESZI Jub.jutalom és felm.bér"/>
      <sheetName val="engedélyezett létszám (3)"/>
      <sheetName val="KESZI 2019 bértervezet 01.04"/>
      <sheetName val="KESZ jub, felmentés új"/>
      <sheetName val="eng. létszám KESZI új"/>
      <sheetName val="bérváltozás kimutatás KESZI"/>
      <sheetName val="tagdíjak"/>
    </sheetNames>
    <sheetDataSet>
      <sheetData sheetId="0">
        <row r="19">
          <cell r="F19">
            <v>1481888</v>
          </cell>
        </row>
      </sheetData>
      <sheetData sheetId="1">
        <row r="20">
          <cell r="G20">
            <v>212349000</v>
          </cell>
        </row>
        <row r="105">
          <cell r="G105">
            <v>37589415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4">
          <cell r="H24">
            <v>487151222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IV21"/>
  <sheetViews>
    <sheetView workbookViewId="0">
      <selection activeCell="B2" sqref="B2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627</v>
      </c>
    </row>
    <row r="2" spans="1:256" x14ac:dyDescent="0.25">
      <c r="B2" s="2"/>
    </row>
    <row r="3" spans="1:256" x14ac:dyDescent="0.25">
      <c r="B3" s="2"/>
    </row>
    <row r="6" spans="1:256" x14ac:dyDescent="0.25">
      <c r="A6" s="289" t="s">
        <v>1</v>
      </c>
      <c r="B6" s="289"/>
    </row>
    <row r="7" spans="1:256" x14ac:dyDescent="0.25">
      <c r="A7" s="289" t="s">
        <v>133</v>
      </c>
      <c r="B7" s="289"/>
    </row>
    <row r="8" spans="1:256" s="155" customFormat="1" x14ac:dyDescent="0.25">
      <c r="A8" s="289" t="s">
        <v>134</v>
      </c>
      <c r="B8" s="2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155" customFormat="1" x14ac:dyDescent="0.25">
      <c r="A9" s="154"/>
      <c r="B9" s="15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5.75" x14ac:dyDescent="0.25">
      <c r="A10" s="290" t="s">
        <v>2</v>
      </c>
      <c r="B10" s="290"/>
    </row>
    <row r="11" spans="1:256" ht="15.75" x14ac:dyDescent="0.25">
      <c r="A11" s="291" t="s">
        <v>3</v>
      </c>
      <c r="B11" s="291"/>
    </row>
    <row r="12" spans="1:256" ht="15.75" x14ac:dyDescent="0.25">
      <c r="A12" s="153"/>
      <c r="B12" s="153"/>
    </row>
    <row r="13" spans="1:256" ht="15.75" x14ac:dyDescent="0.25">
      <c r="A13" s="153"/>
      <c r="B13" s="153"/>
    </row>
    <row r="14" spans="1:256" ht="15.75" x14ac:dyDescent="0.25">
      <c r="A14" s="153"/>
    </row>
    <row r="15" spans="1:256" ht="16.5" thickBot="1" x14ac:dyDescent="0.3">
      <c r="A15" s="153"/>
    </row>
    <row r="16" spans="1:256" ht="17.25" thickTop="1" thickBot="1" x14ac:dyDescent="0.3">
      <c r="A16" s="4" t="s">
        <v>4</v>
      </c>
      <c r="B16" s="5" t="s">
        <v>5</v>
      </c>
    </row>
    <row r="17" spans="1:2" ht="48" customHeight="1" thickTop="1" thickBot="1" x14ac:dyDescent="0.3">
      <c r="A17" s="6" t="s">
        <v>6</v>
      </c>
      <c r="B17" s="7" t="s">
        <v>7</v>
      </c>
    </row>
    <row r="18" spans="1:2" ht="48" customHeight="1" thickTop="1" thickBot="1" x14ac:dyDescent="0.3">
      <c r="A18" s="6" t="s">
        <v>8</v>
      </c>
      <c r="B18" s="8" t="s">
        <v>9</v>
      </c>
    </row>
    <row r="19" spans="1:2" ht="48" customHeight="1" thickTop="1" thickBot="1" x14ac:dyDescent="0.3">
      <c r="A19" s="9" t="s">
        <v>10</v>
      </c>
      <c r="B19" s="8" t="s">
        <v>80</v>
      </c>
    </row>
    <row r="20" spans="1:2" ht="16.5" thickTop="1" x14ac:dyDescent="0.25">
      <c r="A20" s="10"/>
    </row>
    <row r="21" spans="1:2" ht="15.75" x14ac:dyDescent="0.25">
      <c r="A21" s="10"/>
    </row>
  </sheetData>
  <mergeCells count="5">
    <mergeCell ref="A6:B6"/>
    <mergeCell ref="A7:B7"/>
    <mergeCell ref="A8:B8"/>
    <mergeCell ref="A10:B10"/>
    <mergeCell ref="A11:B11"/>
  </mergeCells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>
    <pageSetUpPr fitToPage="1"/>
  </sheetPr>
  <dimension ref="A1:IS40"/>
  <sheetViews>
    <sheetView view="pageBreakPreview" topLeftCell="A2" zoomScale="60" zoomScaleNormal="100" workbookViewId="0">
      <pane xSplit="1" topLeftCell="B1" activePane="topRight" state="frozen"/>
      <selection activeCell="A4" sqref="A4"/>
      <selection pane="topRight" activeCell="B2" sqref="B2"/>
    </sheetView>
  </sheetViews>
  <sheetFormatPr defaultColWidth="8.75" defaultRowHeight="15" x14ac:dyDescent="0.25"/>
  <cols>
    <col min="1" max="1" width="47.625" style="1" bestFit="1" customWidth="1"/>
    <col min="2" max="2" width="15.75" style="1" customWidth="1"/>
    <col min="3" max="4" width="16.625" style="1" customWidth="1"/>
    <col min="5" max="5" width="17.375" style="1" hidden="1" customWidth="1"/>
    <col min="6" max="6" width="14" style="1" hidden="1" customWidth="1"/>
    <col min="7" max="8" width="16.625" style="1" hidden="1" customWidth="1"/>
    <col min="9" max="10" width="13.75" style="37" hidden="1" customWidth="1"/>
    <col min="11" max="11" width="16" style="37" bestFit="1" customWidth="1"/>
    <col min="12" max="12" width="16" style="1" bestFit="1" customWidth="1"/>
    <col min="13" max="13" width="14.125" style="1" bestFit="1" customWidth="1"/>
    <col min="14" max="14" width="17.375" style="1" customWidth="1"/>
    <col min="15" max="15" width="16.875" style="1" customWidth="1"/>
    <col min="16" max="16" width="14.375" style="1" customWidth="1"/>
    <col min="17" max="17" width="8.75" style="1"/>
    <col min="18" max="18" width="13.5" style="1" customWidth="1"/>
    <col min="19" max="19" width="15.625" style="1" customWidth="1"/>
    <col min="20" max="20" width="12.375" style="1" customWidth="1"/>
    <col min="21" max="16384" width="8.75" style="1"/>
  </cols>
  <sheetData>
    <row r="1" spans="1:253" x14ac:dyDescent="0.25">
      <c r="B1" s="293" t="s">
        <v>628</v>
      </c>
      <c r="C1" s="293"/>
      <c r="D1" s="3"/>
      <c r="E1" s="3"/>
      <c r="F1" s="3"/>
      <c r="G1" s="3"/>
      <c r="H1" s="3"/>
    </row>
    <row r="2" spans="1:253" x14ac:dyDescent="0.25">
      <c r="B2" s="2"/>
    </row>
    <row r="3" spans="1:253" x14ac:dyDescent="0.25">
      <c r="A3" s="289" t="s">
        <v>0</v>
      </c>
      <c r="B3" s="289"/>
      <c r="C3" s="289"/>
      <c r="D3" s="3"/>
      <c r="E3" s="3"/>
      <c r="F3" s="3"/>
      <c r="G3" s="3"/>
      <c r="H3" s="3"/>
    </row>
    <row r="4" spans="1:253" x14ac:dyDescent="0.25">
      <c r="A4" s="289" t="s">
        <v>135</v>
      </c>
      <c r="B4" s="289"/>
      <c r="C4" s="289"/>
      <c r="D4" s="3"/>
      <c r="E4" s="3"/>
      <c r="F4" s="3"/>
      <c r="G4" s="3"/>
      <c r="H4" s="3"/>
    </row>
    <row r="5" spans="1:253" ht="15.75" x14ac:dyDescent="0.25">
      <c r="A5" s="294" t="s">
        <v>11</v>
      </c>
      <c r="B5" s="294"/>
      <c r="C5" s="294"/>
      <c r="D5" s="11"/>
      <c r="E5" s="11"/>
      <c r="F5" s="11"/>
      <c r="G5" s="11"/>
      <c r="H5" s="11"/>
    </row>
    <row r="6" spans="1:253" ht="15.75" x14ac:dyDescent="0.25">
      <c r="A6" s="294" t="s">
        <v>39</v>
      </c>
      <c r="B6" s="294"/>
      <c r="C6" s="294"/>
      <c r="D6" s="11"/>
      <c r="E6" s="11"/>
      <c r="F6" s="11"/>
      <c r="G6" s="11"/>
      <c r="H6" s="11"/>
    </row>
    <row r="7" spans="1:253" ht="15.75" x14ac:dyDescent="0.25">
      <c r="A7" s="11"/>
      <c r="B7" s="11"/>
      <c r="C7" s="11"/>
      <c r="D7" s="11"/>
      <c r="E7" s="11"/>
      <c r="F7" s="11"/>
      <c r="G7" s="11"/>
      <c r="H7" s="11"/>
    </row>
    <row r="8" spans="1:253" ht="15.75" customHeight="1" x14ac:dyDescent="0.25">
      <c r="A8" s="295" t="s">
        <v>7</v>
      </c>
      <c r="B8" s="295"/>
      <c r="C8" s="12" t="s">
        <v>12</v>
      </c>
      <c r="D8" s="12" t="s">
        <v>13</v>
      </c>
      <c r="E8" s="12"/>
      <c r="F8" s="12" t="s">
        <v>12</v>
      </c>
      <c r="G8" s="144" t="s">
        <v>13</v>
      </c>
      <c r="H8" s="145"/>
      <c r="I8" s="12" t="s">
        <v>12</v>
      </c>
      <c r="J8" s="144" t="s">
        <v>13</v>
      </c>
      <c r="K8" s="145"/>
      <c r="L8" s="147" t="s">
        <v>12</v>
      </c>
      <c r="M8" s="144" t="s">
        <v>13</v>
      </c>
      <c r="N8" s="145"/>
      <c r="O8" s="147" t="s">
        <v>12</v>
      </c>
      <c r="P8" s="144" t="s">
        <v>13</v>
      </c>
    </row>
    <row r="9" spans="1:253" ht="15.75" x14ac:dyDescent="0.25">
      <c r="A9" s="13" t="s">
        <v>5</v>
      </c>
      <c r="B9" s="13" t="s">
        <v>14</v>
      </c>
      <c r="C9" s="13" t="s">
        <v>14</v>
      </c>
      <c r="D9" s="13" t="s">
        <v>14</v>
      </c>
      <c r="E9" s="13" t="s">
        <v>74</v>
      </c>
      <c r="F9" s="13" t="s">
        <v>74</v>
      </c>
      <c r="G9" s="13" t="s">
        <v>74</v>
      </c>
      <c r="H9" s="13" t="s">
        <v>74</v>
      </c>
      <c r="I9" s="13" t="s">
        <v>74</v>
      </c>
      <c r="J9" s="13" t="s">
        <v>74</v>
      </c>
      <c r="K9" s="13" t="s">
        <v>74</v>
      </c>
      <c r="L9" s="13" t="s">
        <v>74</v>
      </c>
      <c r="M9" s="13" t="s">
        <v>74</v>
      </c>
      <c r="N9" s="13" t="s">
        <v>136</v>
      </c>
      <c r="O9" s="13" t="s">
        <v>136</v>
      </c>
      <c r="P9" s="13" t="s">
        <v>136</v>
      </c>
    </row>
    <row r="10" spans="1:253" ht="33.75" customHeight="1" x14ac:dyDescent="0.25">
      <c r="A10" s="14"/>
      <c r="B10" s="15" t="s">
        <v>106</v>
      </c>
      <c r="C10" s="15" t="s">
        <v>106</v>
      </c>
      <c r="D10" s="15" t="s">
        <v>106</v>
      </c>
      <c r="E10" s="15" t="s">
        <v>107</v>
      </c>
      <c r="F10" s="15" t="s">
        <v>107</v>
      </c>
      <c r="G10" s="15" t="s">
        <v>107</v>
      </c>
      <c r="H10" s="15" t="s">
        <v>124</v>
      </c>
      <c r="I10" s="15" t="s">
        <v>124</v>
      </c>
      <c r="J10" s="15" t="s">
        <v>124</v>
      </c>
      <c r="K10" s="15" t="s">
        <v>129</v>
      </c>
      <c r="L10" s="15" t="s">
        <v>129</v>
      </c>
      <c r="M10" s="15" t="s">
        <v>129</v>
      </c>
      <c r="N10" s="157">
        <v>43830</v>
      </c>
      <c r="O10" s="157">
        <v>43830</v>
      </c>
      <c r="P10" s="157">
        <v>43830</v>
      </c>
    </row>
    <row r="11" spans="1:253" ht="15.75" x14ac:dyDescent="0.25">
      <c r="A11" s="16" t="s">
        <v>15</v>
      </c>
      <c r="B11" s="17">
        <f>' KESZI ktgvetési mérleg'!B12+'CSGYK ktgvetési mérleg'!B12+'Társulás ktgvetési mérleg'!B12</f>
        <v>700982110</v>
      </c>
      <c r="C11" s="17">
        <f t="shared" ref="C11:C19" si="0">SUM(B11-D11)</f>
        <v>699500222</v>
      </c>
      <c r="D11" s="17">
        <f>'Társulás ktgvetési mérleg'!B12</f>
        <v>1481888</v>
      </c>
      <c r="E11" s="17">
        <f>' KESZI ktgvetési mérleg'!C12+'CSGYK ktgvetési mérleg'!C12+'Társulás ktgvetési mérleg'!C12</f>
        <v>703675614</v>
      </c>
      <c r="F11" s="17">
        <f>E11-G11</f>
        <v>702193726</v>
      </c>
      <c r="G11" s="17">
        <f>'Társulás ktgvetési mérleg'!C12</f>
        <v>1481888</v>
      </c>
      <c r="H11" s="17">
        <f>' KESZI ktgvetési mérleg'!D12+'CSGYK ktgvetési mérleg'!D12+'Társulás ktgvetési mérleg'!D12</f>
        <v>676163171</v>
      </c>
      <c r="I11" s="17">
        <f>H11-J11</f>
        <v>674681283</v>
      </c>
      <c r="J11" s="17">
        <v>1481888</v>
      </c>
      <c r="K11" s="17">
        <f>' KESZI ktgvetési mérleg'!E12+'CSGYK ktgvetési mérleg'!E12+'Társulás ktgvetési mérleg'!E12</f>
        <v>667520830</v>
      </c>
      <c r="L11" s="17">
        <f>K11-M11</f>
        <v>666038942</v>
      </c>
      <c r="M11" s="17">
        <v>1481888</v>
      </c>
      <c r="N11" s="17">
        <f>' KESZI ktgvetési mérleg'!F12+'CSGYK ktgvetési mérleg'!F12+'Társulás ktgvetési mérleg'!F12</f>
        <v>623692239</v>
      </c>
      <c r="O11" s="17">
        <f>N11-P11</f>
        <v>622766603</v>
      </c>
      <c r="P11" s="17">
        <f>'Társulás ktgvetési mérleg'!F12</f>
        <v>925636</v>
      </c>
    </row>
    <row r="12" spans="1:253" ht="15.75" x14ac:dyDescent="0.25">
      <c r="A12" s="16" t="s">
        <v>16</v>
      </c>
      <c r="B12" s="17">
        <f>' KESZI ktgvetési mérleg'!B13+'CSGYK ktgvetési mérleg'!B13+'Társulás ktgvetési mérleg'!B13</f>
        <v>151176190</v>
      </c>
      <c r="C12" s="17">
        <f t="shared" si="0"/>
        <v>150736000</v>
      </c>
      <c r="D12" s="17">
        <f>'Társulás ktgvetési mérleg'!B13</f>
        <v>440190</v>
      </c>
      <c r="E12" s="17">
        <f>' KESZI ktgvetési mérleg'!C13+'CSGYK ktgvetési mérleg'!C13+'Társulás ktgvetési mérleg'!C13</f>
        <v>151701423</v>
      </c>
      <c r="F12" s="17">
        <f t="shared" ref="F12:F19" si="1">E12-G12</f>
        <v>151261233</v>
      </c>
      <c r="G12" s="17">
        <f>'Társulás ktgvetési mérleg'!C13</f>
        <v>440190</v>
      </c>
      <c r="H12" s="17">
        <f>' KESZI ktgvetési mérleg'!D13+'CSGYK ktgvetési mérleg'!D13+'Társulás ktgvetési mérleg'!D13</f>
        <v>145208548</v>
      </c>
      <c r="I12" s="17">
        <f t="shared" ref="I12:I16" si="2">H12-J12</f>
        <v>144768358</v>
      </c>
      <c r="J12" s="17">
        <v>440190</v>
      </c>
      <c r="K12" s="17">
        <f>' KESZI ktgvetési mérleg'!E13+'CSGYK ktgvetési mérleg'!E13+'Társulás ktgvetési mérleg'!E13</f>
        <v>144382290</v>
      </c>
      <c r="L12" s="17">
        <f t="shared" ref="L12:L16" si="3">K12-M12</f>
        <v>143942100</v>
      </c>
      <c r="M12" s="17">
        <v>440190</v>
      </c>
      <c r="N12" s="17">
        <f>' KESZI ktgvetési mérleg'!F13+'CSGYK ktgvetési mérleg'!F13+'Társulás ktgvetési mérleg'!F13</f>
        <v>119694565</v>
      </c>
      <c r="O12" s="17">
        <f t="shared" ref="O12:O16" si="4">N12-P12</f>
        <v>119437937</v>
      </c>
      <c r="P12" s="17">
        <f>'Társulás ktgvetési mérleg'!F13</f>
        <v>256628</v>
      </c>
    </row>
    <row r="13" spans="1:253" ht="15.75" x14ac:dyDescent="0.25">
      <c r="A13" s="16" t="s">
        <v>17</v>
      </c>
      <c r="B13" s="17">
        <f>' KESZI ktgvetési mérleg'!B14+'CSGYK ktgvetési mérleg'!B14+'Társulás ktgvetési mérleg'!B14</f>
        <v>266437133</v>
      </c>
      <c r="C13" s="17">
        <f>SUM(B13-D13)</f>
        <v>261857755</v>
      </c>
      <c r="D13" s="17">
        <f>'Társulás ktgvetési mérleg'!B14</f>
        <v>4579378</v>
      </c>
      <c r="E13" s="17">
        <f>' KESZI ktgvetési mérleg'!C14+'CSGYK ktgvetési mérleg'!C14+'Társulás ktgvetési mérleg'!C14</f>
        <v>310475063</v>
      </c>
      <c r="F13" s="17">
        <f t="shared" si="1"/>
        <v>258052085</v>
      </c>
      <c r="G13" s="17">
        <f>'Társulás ktgvetési mérleg'!C14</f>
        <v>52422978</v>
      </c>
      <c r="H13" s="17">
        <f>' KESZI ktgvetési mérleg'!D14+'CSGYK ktgvetési mérleg'!D14+'Társulás ktgvetési mérleg'!D14</f>
        <v>348047074</v>
      </c>
      <c r="I13" s="17">
        <f t="shared" si="2"/>
        <v>295624096</v>
      </c>
      <c r="J13" s="17">
        <v>52422978</v>
      </c>
      <c r="K13" s="17">
        <f>' KESZI ktgvetési mérleg'!E14+'CSGYK ktgvetési mérleg'!E14+'Társulás ktgvetési mérleg'!E14</f>
        <v>357918386</v>
      </c>
      <c r="L13" s="17">
        <f t="shared" si="3"/>
        <v>303491584</v>
      </c>
      <c r="M13" s="17">
        <v>54426802</v>
      </c>
      <c r="N13" s="17">
        <f>' KESZI ktgvetési mérleg'!F14+'CSGYK ktgvetési mérleg'!F14+'Társulás ktgvetési mérleg'!F14</f>
        <v>333287811</v>
      </c>
      <c r="O13" s="17">
        <f t="shared" si="4"/>
        <v>279456060</v>
      </c>
      <c r="P13" s="17">
        <f>'Társulás ktgvetési mérleg'!F14</f>
        <v>53831751</v>
      </c>
    </row>
    <row r="14" spans="1:253" ht="15.75" x14ac:dyDescent="0.25">
      <c r="A14" s="16" t="s">
        <v>76</v>
      </c>
      <c r="B14" s="17">
        <f>' KESZI ktgvetési mérleg'!B15+'CSGYK ktgvetési mérleg'!B15</f>
        <v>1050000</v>
      </c>
      <c r="C14" s="17">
        <f>' KESZI ktgvetési mérleg'!C15+'CSGYK ktgvetési mérleg'!C15</f>
        <v>1050000</v>
      </c>
      <c r="D14" s="17">
        <v>0</v>
      </c>
      <c r="E14" s="17">
        <f>' KESZI ktgvetési mérleg'!C15+'CSGYK ktgvetési mérleg'!C15</f>
        <v>1050000</v>
      </c>
      <c r="F14" s="17">
        <f t="shared" si="1"/>
        <v>1050000</v>
      </c>
      <c r="G14" s="17">
        <v>0</v>
      </c>
      <c r="H14" s="17">
        <f>' KESZI ktgvetési mérleg'!D15+'CSGYK ktgvetési mérleg'!D15</f>
        <v>1050000</v>
      </c>
      <c r="I14" s="17">
        <f t="shared" si="2"/>
        <v>1050000</v>
      </c>
      <c r="J14" s="17">
        <v>0</v>
      </c>
      <c r="K14" s="17">
        <f>' KESZI ktgvetési mérleg'!E15+'CSGYK ktgvetési mérleg'!E15</f>
        <v>1173100</v>
      </c>
      <c r="L14" s="17">
        <f t="shared" si="3"/>
        <v>1173100</v>
      </c>
      <c r="M14" s="17">
        <v>0</v>
      </c>
      <c r="N14" s="17">
        <f>' KESZI ktgvetési mérleg'!F15+'CSGYK ktgvetési mérleg'!F15</f>
        <v>1086550</v>
      </c>
      <c r="O14" s="17">
        <f t="shared" si="4"/>
        <v>1086550</v>
      </c>
      <c r="P14" s="17">
        <v>0</v>
      </c>
    </row>
    <row r="15" spans="1:253" ht="15.75" x14ac:dyDescent="0.25">
      <c r="A15" s="16" t="s">
        <v>18</v>
      </c>
      <c r="B15" s="17">
        <v>6340000</v>
      </c>
      <c r="C15" s="17">
        <v>0</v>
      </c>
      <c r="D15" s="17">
        <v>6340000</v>
      </c>
      <c r="E15" s="17">
        <f>'Társulás ktgvetési mérleg'!C15</f>
        <v>14219821</v>
      </c>
      <c r="F15" s="17">
        <f t="shared" si="1"/>
        <v>0</v>
      </c>
      <c r="G15" s="17">
        <f>'Társulás ktgvetési mérleg'!C15</f>
        <v>14219821</v>
      </c>
      <c r="H15" s="17">
        <f>'Társulás ktgvetési mérleg'!D15</f>
        <v>14219821</v>
      </c>
      <c r="I15" s="17">
        <f t="shared" si="2"/>
        <v>0</v>
      </c>
      <c r="J15" s="17">
        <v>14219821</v>
      </c>
      <c r="K15" s="17">
        <f>'Társulás ktgvetési mérleg'!E15</f>
        <v>14219821</v>
      </c>
      <c r="L15" s="17">
        <f t="shared" si="3"/>
        <v>0</v>
      </c>
      <c r="M15" s="17">
        <v>14219821</v>
      </c>
      <c r="N15" s="17">
        <f>'Társulás ktgvetési mérleg'!F15</f>
        <v>12329821</v>
      </c>
      <c r="O15" s="17">
        <f t="shared" si="4"/>
        <v>0</v>
      </c>
      <c r="P15" s="17">
        <f>'Társulás ktgvetési mérleg'!F15</f>
        <v>12329821</v>
      </c>
    </row>
    <row r="16" spans="1:253" customFormat="1" ht="15.75" x14ac:dyDescent="0.25">
      <c r="A16" s="16" t="s">
        <v>77</v>
      </c>
      <c r="B16" s="17">
        <v>0</v>
      </c>
      <c r="C16" s="17"/>
      <c r="D16" s="17"/>
      <c r="E16" s="17">
        <f>' KESZI ktgvetési mérleg'!C16+'CSGYK ktgvetési mérleg'!C16</f>
        <v>0</v>
      </c>
      <c r="F16" s="17">
        <f t="shared" si="1"/>
        <v>0</v>
      </c>
      <c r="G16" s="17">
        <v>0</v>
      </c>
      <c r="H16" s="17" t="e">
        <f>' KESZI ktgvetési mérleg'!#REF!+'CSGYK ktgvetési mérleg'!H16</f>
        <v>#REF!</v>
      </c>
      <c r="I16" s="17" t="e">
        <f t="shared" si="2"/>
        <v>#REF!</v>
      </c>
      <c r="J16" s="17">
        <v>0</v>
      </c>
      <c r="K16" s="17">
        <v>0</v>
      </c>
      <c r="L16" s="17">
        <f t="shared" si="3"/>
        <v>0</v>
      </c>
      <c r="M16" s="17">
        <v>0</v>
      </c>
      <c r="N16" s="17">
        <v>0</v>
      </c>
      <c r="O16" s="17">
        <f t="shared" si="4"/>
        <v>0</v>
      </c>
      <c r="P16" s="17">
        <v>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</row>
    <row r="17" spans="1:253" s="40" customFormat="1" ht="15.75" x14ac:dyDescent="0.25">
      <c r="A17" s="16" t="s">
        <v>78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"/>
      <c r="R17" s="169"/>
      <c r="S17" s="169"/>
      <c r="T17" s="169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</row>
    <row r="18" spans="1:253" ht="15.75" x14ac:dyDescent="0.25">
      <c r="A18" s="16" t="s">
        <v>19</v>
      </c>
      <c r="B18" s="17">
        <f>' KESZI ktgvetési mérleg'!B17+'CSGYK ktgvetési mérleg'!B17+'Társulás ktgvetési mérleg'!B18</f>
        <v>280992577</v>
      </c>
      <c r="C18" s="17">
        <f>' KESZI ktgvetési mérleg'!B17+'CSGYK ktgvetési mérleg'!B17</f>
        <v>18787858</v>
      </c>
      <c r="D18" s="17">
        <f>'Társulás ktgvetési mérleg'!B18</f>
        <v>262204719</v>
      </c>
      <c r="E18" s="17">
        <f>' KESZI ktgvetési mérleg'!C17+'CSGYK ktgvetési mérleg'!C17+'Társulás ktgvetési mérleg'!C18</f>
        <v>245079829</v>
      </c>
      <c r="F18" s="17">
        <f t="shared" si="1"/>
        <v>30418110</v>
      </c>
      <c r="G18" s="17">
        <f>'Társulás ktgvetési mérleg'!C18</f>
        <v>214661719</v>
      </c>
      <c r="H18" s="17">
        <f>' KESZI ktgvetési mérleg'!D17+'CSGYK ktgvetési mérleg'!D17+'Társulás ktgvetési mérleg'!D18</f>
        <v>254382724</v>
      </c>
      <c r="I18" s="17">
        <f t="shared" ref="I18:I19" si="5">H18-J18</f>
        <v>40887896</v>
      </c>
      <c r="J18" s="17">
        <f>'Társulás ktgvetési mérleg'!D18</f>
        <v>213494828</v>
      </c>
      <c r="K18" s="17">
        <f>' KESZI ktgvetési mérleg'!E17+'CSGYK ktgvetési mérleg'!E17+'Társulás ktgvetési mérleg'!E18</f>
        <v>266823154</v>
      </c>
      <c r="L18" s="17">
        <f t="shared" ref="L18:L19" si="6">K18-M18</f>
        <v>53328326</v>
      </c>
      <c r="M18" s="17">
        <v>213494828</v>
      </c>
      <c r="N18" s="17">
        <f>' KESZI ktgvetési mérleg'!F17+'CSGYK ktgvetési mérleg'!F17+'Társulás ktgvetési mérleg'!F18</f>
        <v>252212855</v>
      </c>
      <c r="O18" s="17">
        <f t="shared" ref="O18:O19" si="7">N18-P18</f>
        <v>43641346</v>
      </c>
      <c r="P18" s="17">
        <f>'Társulás ktgvetési mérleg'!F18</f>
        <v>208571509</v>
      </c>
    </row>
    <row r="19" spans="1:253" ht="15.75" x14ac:dyDescent="0.25">
      <c r="A19" s="16" t="s">
        <v>20</v>
      </c>
      <c r="B19" s="18">
        <v>0</v>
      </c>
      <c r="C19" s="17">
        <f t="shared" si="0"/>
        <v>0</v>
      </c>
      <c r="D19" s="95">
        <v>0</v>
      </c>
      <c r="E19" s="95">
        <v>0</v>
      </c>
      <c r="F19" s="95">
        <f t="shared" si="1"/>
        <v>0</v>
      </c>
      <c r="G19" s="95">
        <v>0</v>
      </c>
      <c r="H19" s="95">
        <v>0</v>
      </c>
      <c r="I19" s="95">
        <f t="shared" si="5"/>
        <v>0</v>
      </c>
      <c r="J19" s="95">
        <v>0</v>
      </c>
      <c r="K19" s="95">
        <v>0</v>
      </c>
      <c r="L19" s="95">
        <f t="shared" si="6"/>
        <v>0</v>
      </c>
      <c r="M19" s="95">
        <v>0</v>
      </c>
      <c r="N19" s="95">
        <v>0</v>
      </c>
      <c r="O19" s="95">
        <f t="shared" si="7"/>
        <v>0</v>
      </c>
      <c r="P19" s="95">
        <v>0</v>
      </c>
    </row>
    <row r="20" spans="1:253" ht="15.75" x14ac:dyDescent="0.25">
      <c r="A20" s="16" t="s">
        <v>90</v>
      </c>
      <c r="B20" s="18">
        <v>0</v>
      </c>
      <c r="C20" s="18">
        <v>0</v>
      </c>
      <c r="D20" s="36">
        <v>0</v>
      </c>
      <c r="E20" s="36">
        <f>' KESZI ktgvetési mérleg'!C19+'CSGYK ktgvetési mérleg'!C18</f>
        <v>7879821</v>
      </c>
      <c r="F20" s="36">
        <v>7879821</v>
      </c>
      <c r="G20" s="36">
        <v>0</v>
      </c>
      <c r="H20" s="36">
        <f>' KESZI ktgvetési mérleg'!D19+'CSGYK ktgvetési mérleg'!D18</f>
        <v>7879821</v>
      </c>
      <c r="I20" s="36">
        <v>7879821</v>
      </c>
      <c r="J20" s="36">
        <v>0</v>
      </c>
      <c r="K20" s="36">
        <f>' KESZI ktgvetési mérleg'!E19+'CSGYK ktgvetési mérleg'!E18</f>
        <v>7879821</v>
      </c>
      <c r="L20" s="36">
        <v>7879821</v>
      </c>
      <c r="M20" s="36">
        <v>0</v>
      </c>
      <c r="N20" s="36">
        <f>' KESZI ktgvetési mérleg'!F19+'CSGYK ktgvetési mérleg'!F18</f>
        <v>7879821</v>
      </c>
      <c r="O20" s="36">
        <f>N20-P20</f>
        <v>7879821</v>
      </c>
      <c r="P20" s="36">
        <v>0</v>
      </c>
    </row>
    <row r="21" spans="1:253" ht="15.75" x14ac:dyDescent="0.25">
      <c r="A21" s="19" t="s">
        <v>21</v>
      </c>
      <c r="B21" s="21">
        <f>SUM(B11:B20)</f>
        <v>1406978010</v>
      </c>
      <c r="C21" s="126">
        <f t="shared" ref="C21:D21" si="8">SUM(C11:C19)</f>
        <v>1131931835</v>
      </c>
      <c r="D21" s="129">
        <f t="shared" si="8"/>
        <v>275046175</v>
      </c>
      <c r="E21" s="129">
        <f>SUM(E11:E20)</f>
        <v>1434081571</v>
      </c>
      <c r="F21" s="129">
        <f t="shared" ref="F21:G21" si="9">SUM(F11:F20)</f>
        <v>1150854975</v>
      </c>
      <c r="G21" s="129">
        <f t="shared" si="9"/>
        <v>283226596</v>
      </c>
      <c r="H21" s="129" t="e">
        <f>SUM(H11:H20)</f>
        <v>#REF!</v>
      </c>
      <c r="I21" s="129" t="e">
        <f t="shared" ref="I21:J21" si="10">SUM(I11:I20)</f>
        <v>#REF!</v>
      </c>
      <c r="J21" s="129">
        <f t="shared" si="10"/>
        <v>282059705</v>
      </c>
      <c r="K21" s="129">
        <f>SUM(K11:K20)</f>
        <v>1459917402</v>
      </c>
      <c r="L21" s="129">
        <f t="shared" ref="L21:M21" si="11">SUM(L11:L20)</f>
        <v>1175853873</v>
      </c>
      <c r="M21" s="129">
        <f t="shared" si="11"/>
        <v>284063529</v>
      </c>
      <c r="N21" s="129">
        <f>SUM(N11:N20)</f>
        <v>1350183662</v>
      </c>
      <c r="O21" s="129">
        <f t="shared" ref="O21:P21" si="12">SUM(O11:O20)</f>
        <v>1074268317</v>
      </c>
      <c r="P21" s="129">
        <f t="shared" si="12"/>
        <v>275915345</v>
      </c>
    </row>
    <row r="22" spans="1:253" ht="15.75" x14ac:dyDescent="0.25">
      <c r="A22" s="16" t="s">
        <v>22</v>
      </c>
      <c r="B22" s="23">
        <v>28322857</v>
      </c>
      <c r="C22" s="22">
        <v>23683115</v>
      </c>
      <c r="D22" s="127">
        <v>2455742</v>
      </c>
      <c r="E22" s="128">
        <f>'Társulás ktgvetési mérleg'!C21</f>
        <v>16978938</v>
      </c>
      <c r="F22" s="131">
        <v>12349877</v>
      </c>
      <c r="G22" s="130">
        <v>4629061</v>
      </c>
      <c r="H22" s="128">
        <f>'Társulás ktgvetési mérleg'!D21</f>
        <v>14556704</v>
      </c>
      <c r="I22" s="131">
        <f>12349877-458250-1365000-238875</f>
        <v>10287752</v>
      </c>
      <c r="J22" s="130">
        <f>4629061-360109</f>
        <v>4268952</v>
      </c>
      <c r="K22" s="128">
        <f>'Társulás ktgvetési mérleg'!E21</f>
        <v>3599252</v>
      </c>
      <c r="L22" s="131">
        <v>0</v>
      </c>
      <c r="M22" s="130">
        <v>3599252</v>
      </c>
      <c r="N22" s="128">
        <f>'Társulás ktgvetési mérleg'!I21</f>
        <v>0</v>
      </c>
      <c r="O22" s="131">
        <v>0</v>
      </c>
      <c r="P22" s="130">
        <v>0</v>
      </c>
    </row>
    <row r="23" spans="1:253" ht="15.75" x14ac:dyDescent="0.25">
      <c r="A23" s="25" t="s">
        <v>25</v>
      </c>
      <c r="B23" s="22">
        <f>B21+B22</f>
        <v>1435300867</v>
      </c>
      <c r="C23" s="22">
        <f>SUM(B23-D23)</f>
        <v>1157798950</v>
      </c>
      <c r="D23" s="23">
        <f>SUM(D21+D22)</f>
        <v>277501917</v>
      </c>
      <c r="E23" s="38">
        <f t="shared" ref="E23:J23" si="13">SUM(E21:E22)</f>
        <v>1451060509</v>
      </c>
      <c r="F23" s="38">
        <f t="shared" si="13"/>
        <v>1163204852</v>
      </c>
      <c r="G23" s="38">
        <f t="shared" si="13"/>
        <v>287855657</v>
      </c>
      <c r="H23" s="38" t="e">
        <f t="shared" si="13"/>
        <v>#REF!</v>
      </c>
      <c r="I23" s="38" t="e">
        <f t="shared" si="13"/>
        <v>#REF!</v>
      </c>
      <c r="J23" s="38">
        <f t="shared" si="13"/>
        <v>286328657</v>
      </c>
      <c r="K23" s="38">
        <f t="shared" ref="K23:M23" si="14">SUM(K21:K22)</f>
        <v>1463516654</v>
      </c>
      <c r="L23" s="38">
        <f t="shared" si="14"/>
        <v>1175853873</v>
      </c>
      <c r="M23" s="38">
        <f t="shared" si="14"/>
        <v>287662781</v>
      </c>
      <c r="N23" s="38">
        <f t="shared" ref="N23:P23" si="15">SUM(N21:N22)</f>
        <v>1350183662</v>
      </c>
      <c r="O23" s="38">
        <f t="shared" si="15"/>
        <v>1074268317</v>
      </c>
      <c r="P23" s="38">
        <f t="shared" si="15"/>
        <v>275915345</v>
      </c>
    </row>
    <row r="24" spans="1:253" ht="15.75" x14ac:dyDescent="0.25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253" ht="15.75" x14ac:dyDescent="0.25">
      <c r="A25" s="16" t="s">
        <v>26</v>
      </c>
      <c r="B25" s="17">
        <f>' KESZI ktgvetési mérleg'!B24+'CSGYK ktgvetési mérleg'!B22+'Társulás ktgvetési mérleg'!B24</f>
        <v>293900000</v>
      </c>
      <c r="C25" s="17">
        <f>' KESZI ktgvetési mérleg'!B24+'CSGYK ktgvetési mérleg'!B22</f>
        <v>293900000</v>
      </c>
      <c r="D25" s="17">
        <f>'Társulás ktgvetési mérleg'!B24</f>
        <v>0</v>
      </c>
      <c r="E25" s="17">
        <f>'CSGYK ktgvetési mérleg'!C22+'Társulás ktgvetési mérleg'!C24+' KESZI ktgvetési mérleg'!C24</f>
        <v>293900000</v>
      </c>
      <c r="F25" s="17">
        <v>293900000</v>
      </c>
      <c r="G25" s="17">
        <f>'Társulás ktgvetési mérleg'!C24</f>
        <v>0</v>
      </c>
      <c r="H25" s="17">
        <f>' KESZI ktgvetési mérleg'!D24+'CSGYK ktgvetési mérleg'!D22+'Társulás ktgvetési mérleg'!D24</f>
        <v>294352847</v>
      </c>
      <c r="I25" s="17">
        <v>293900000</v>
      </c>
      <c r="J25" s="17">
        <f>'Társulás ktgvetési mérleg'!D24</f>
        <v>452847</v>
      </c>
      <c r="K25" s="17">
        <f>' KESZI ktgvetési mérleg'!E24+'CSGYK ktgvetési mérleg'!E22+'Társulás ktgvetési mérleg'!E24</f>
        <v>294376824</v>
      </c>
      <c r="L25" s="17">
        <v>293900000</v>
      </c>
      <c r="M25" s="17">
        <v>476824</v>
      </c>
      <c r="N25" s="17">
        <f>' KESZI ktgvetési mérleg'!F24+'CSGYK ktgvetési mérleg'!F22+'Társulás ktgvetési mérleg'!F24</f>
        <v>302267790</v>
      </c>
      <c r="O25" s="17">
        <f>N25-P25</f>
        <v>292399839</v>
      </c>
      <c r="P25" s="17">
        <f>'Társulás ktgvetési mérleg'!F24</f>
        <v>9867951</v>
      </c>
    </row>
    <row r="26" spans="1:253" ht="15.75" x14ac:dyDescent="0.25">
      <c r="A26" s="16" t="s">
        <v>130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f>' KESZI ktgvetési mérleg'!E25+'CSGYK ktgvetési mérleg'!E23</f>
        <v>2652130</v>
      </c>
      <c r="L26" s="17">
        <v>2652130</v>
      </c>
      <c r="M26" s="17">
        <v>0</v>
      </c>
      <c r="N26" s="17">
        <f>' KESZI ktgvetési mérleg'!F25+'CSGYK ktgvetési mérleg'!F23+1434000</f>
        <v>4453130</v>
      </c>
      <c r="O26" s="17">
        <f>N26-P26</f>
        <v>3019130</v>
      </c>
      <c r="P26" s="17">
        <v>1434000</v>
      </c>
    </row>
    <row r="27" spans="1:253" ht="15.75" x14ac:dyDescent="0.25">
      <c r="A27" s="16" t="s">
        <v>27</v>
      </c>
      <c r="B27" s="17">
        <f>' KESZI ktgvetési mérleg'!B26+'CSGYK ktgvetési mérleg'!B24+'Társulás ktgvetési mérleg'!B25</f>
        <v>0</v>
      </c>
      <c r="C27" s="17">
        <f t="shared" ref="C27:C32" si="16">B27-D27</f>
        <v>0</v>
      </c>
      <c r="D27" s="17">
        <v>0</v>
      </c>
      <c r="E27" s="17">
        <f>'Társulás ktgvetési mérleg'!C25</f>
        <v>0</v>
      </c>
      <c r="F27" s="17">
        <f t="shared" ref="F27:F32" si="17">E27-G27</f>
        <v>0</v>
      </c>
      <c r="G27" s="17">
        <f>'CSGYK ktgvetési mérleg'!C24</f>
        <v>0</v>
      </c>
      <c r="H27" s="17" t="e">
        <f>'Társulás ktgvetési mérleg'!#REF!</f>
        <v>#REF!</v>
      </c>
      <c r="I27" s="17" t="e">
        <f t="shared" ref="I27" si="18">H27-J27</f>
        <v>#REF!</v>
      </c>
      <c r="J27" s="17">
        <f>'CSGYK ktgvetési mérleg'!H24</f>
        <v>0</v>
      </c>
      <c r="K27" s="17">
        <f>'Társulás ktgvetési mérleg'!J25</f>
        <v>0</v>
      </c>
      <c r="L27" s="17">
        <f t="shared" ref="L27" si="19">K27-M27</f>
        <v>0</v>
      </c>
      <c r="M27" s="17">
        <f>'CSGYK ktgvetési mérleg'!K24</f>
        <v>0</v>
      </c>
      <c r="N27" s="17">
        <f>'Társulás ktgvetési mérleg'!M25</f>
        <v>0</v>
      </c>
      <c r="O27" s="17">
        <f t="shared" ref="O27:O28" si="20">N27-P27</f>
        <v>0</v>
      </c>
      <c r="P27" s="17">
        <f>'CSGYK ktgvetési mérleg'!N24</f>
        <v>0</v>
      </c>
    </row>
    <row r="28" spans="1:253" ht="15.75" x14ac:dyDescent="0.25">
      <c r="A28" s="16" t="s">
        <v>28</v>
      </c>
      <c r="B28" s="17">
        <f>'Társulás ktgvetési mérleg'!B26</f>
        <v>30795820</v>
      </c>
      <c r="C28" s="17">
        <v>0</v>
      </c>
      <c r="D28" s="17">
        <f>'Társulás ktgvetési mérleg'!B26</f>
        <v>30795820</v>
      </c>
      <c r="E28" s="17">
        <f>' KESZI ktgvetési mérleg'!C26+'CSGYK ktgvetési mérleg'!C24+'Társulás ktgvetési mérleg'!C26</f>
        <v>30795820</v>
      </c>
      <c r="F28" s="17">
        <v>0</v>
      </c>
      <c r="G28" s="17">
        <v>30795820</v>
      </c>
      <c r="H28" s="17">
        <f>' KESZI ktgvetési mérleg'!D26+'CSGYK ktgvetési mérleg'!D24+'Társulás ktgvetési mérleg'!D26</f>
        <v>30795820</v>
      </c>
      <c r="I28" s="17">
        <v>0</v>
      </c>
      <c r="J28" s="17">
        <v>30795820</v>
      </c>
      <c r="K28" s="17">
        <f>' KESZI ktgvetési mérleg'!E26+'CSGYK ktgvetési mérleg'!E24+'Társulás ktgvetési mérleg'!E26</f>
        <v>30795820</v>
      </c>
      <c r="L28" s="17">
        <v>0</v>
      </c>
      <c r="M28" s="17">
        <v>30795820</v>
      </c>
      <c r="N28" s="17">
        <f>' KESZI ktgvetési mérleg'!F26+'CSGYK ktgvetési mérleg'!F24+'Társulás ktgvetési mérleg'!F26</f>
        <v>28229276</v>
      </c>
      <c r="O28" s="17">
        <f t="shared" si="20"/>
        <v>0</v>
      </c>
      <c r="P28" s="17">
        <f>'Társulás ktgvetési mérleg'!F26</f>
        <v>28229276</v>
      </c>
    </row>
    <row r="29" spans="1:253" ht="15.75" x14ac:dyDescent="0.25">
      <c r="A29" s="16" t="s">
        <v>29</v>
      </c>
      <c r="B29" s="17">
        <v>0</v>
      </c>
      <c r="C29" s="17">
        <f t="shared" si="16"/>
        <v>0</v>
      </c>
      <c r="D29" s="17">
        <v>0</v>
      </c>
      <c r="E29" s="17">
        <v>0</v>
      </c>
      <c r="F29" s="17">
        <f t="shared" si="17"/>
        <v>0</v>
      </c>
      <c r="G29" s="17">
        <v>0</v>
      </c>
      <c r="H29" s="17">
        <v>0</v>
      </c>
      <c r="I29" s="17">
        <f t="shared" ref="I29:I32" si="21">H29-J29</f>
        <v>0</v>
      </c>
      <c r="J29" s="17">
        <v>0</v>
      </c>
      <c r="K29" s="17">
        <v>0</v>
      </c>
      <c r="L29" s="17">
        <f t="shared" ref="L29:L32" si="22">K29-M29</f>
        <v>0</v>
      </c>
      <c r="M29" s="17">
        <v>0</v>
      </c>
      <c r="N29" s="17">
        <v>0</v>
      </c>
      <c r="O29" s="17">
        <f t="shared" ref="O29:O30" si="23">N29-P29</f>
        <v>0</v>
      </c>
      <c r="P29" s="17">
        <v>0</v>
      </c>
    </row>
    <row r="30" spans="1:253" ht="15.75" x14ac:dyDescent="0.25">
      <c r="A30" s="16" t="s">
        <v>30</v>
      </c>
      <c r="B30" s="17">
        <f>'CSGYK ktgvetési mérleg'!B26+'Társulás ktgvetési mérleg'!B28+' KESZI ktgvetési mérleg'!B28</f>
        <v>796617717</v>
      </c>
      <c r="C30" s="17">
        <v>756979877</v>
      </c>
      <c r="D30" s="17">
        <v>39637840</v>
      </c>
      <c r="E30" s="17">
        <f>' KESZI ktgvetési mérleg'!C28+'CSGYK ktgvetési mérleg'!C26+'Társulás ktgvetési mérleg'!C28</f>
        <v>794258088</v>
      </c>
      <c r="F30" s="17">
        <f t="shared" si="17"/>
        <v>754620248</v>
      </c>
      <c r="G30" s="17">
        <v>39637840</v>
      </c>
      <c r="H30" s="17">
        <f>' KESZI ktgvetési mérleg'!D28+'CSGYK ktgvetési mérleg'!D26+'Társulás ktgvetési mérleg'!D28</f>
        <v>804252595</v>
      </c>
      <c r="I30" s="17">
        <f t="shared" si="21"/>
        <v>764614755</v>
      </c>
      <c r="J30" s="17">
        <v>39637840</v>
      </c>
      <c r="K30" s="17">
        <f>' KESZI ktgvetési mérleg'!E28+'CSGYK ktgvetési mérleg'!E26+'Társulás ktgvetési mérleg'!E28</f>
        <v>803585279</v>
      </c>
      <c r="L30" s="17">
        <f t="shared" si="22"/>
        <v>763947439</v>
      </c>
      <c r="M30" s="17">
        <v>39637840</v>
      </c>
      <c r="N30" s="17">
        <f>' KESZI ktgvetési mérleg'!F28+'CSGYK ktgvetési mérleg'!F26+'Társulás ktgvetési mérleg'!F28-1434000</f>
        <v>787894546</v>
      </c>
      <c r="O30" s="17">
        <f t="shared" si="23"/>
        <v>751483604</v>
      </c>
      <c r="P30" s="17">
        <v>36410942</v>
      </c>
    </row>
    <row r="31" spans="1:253" ht="15.75" x14ac:dyDescent="0.25">
      <c r="A31" s="16" t="s">
        <v>31</v>
      </c>
      <c r="B31" s="17">
        <v>413936235</v>
      </c>
      <c r="C31" s="17">
        <v>413936235</v>
      </c>
      <c r="D31" s="17">
        <v>0</v>
      </c>
      <c r="E31" s="17">
        <v>420638487</v>
      </c>
      <c r="F31" s="17">
        <f t="shared" si="17"/>
        <v>420638487</v>
      </c>
      <c r="G31" s="17">
        <v>0</v>
      </c>
      <c r="H31" s="17">
        <f>420638487+5032950</f>
        <v>425671437</v>
      </c>
      <c r="I31" s="17">
        <f t="shared" si="21"/>
        <v>425671437</v>
      </c>
      <c r="J31" s="17">
        <v>0</v>
      </c>
      <c r="K31" s="17">
        <v>495898067</v>
      </c>
      <c r="L31" s="17">
        <v>495898067</v>
      </c>
      <c r="M31" s="17">
        <v>0</v>
      </c>
      <c r="N31" s="17">
        <f>'Társulás ktgvetési mérleg'!F29</f>
        <v>619749763</v>
      </c>
      <c r="O31" s="17">
        <f>'Társulás ktgvetési mérleg'!F29</f>
        <v>619749763</v>
      </c>
      <c r="P31" s="17">
        <v>0</v>
      </c>
    </row>
    <row r="32" spans="1:253" ht="15.75" x14ac:dyDescent="0.25">
      <c r="A32" s="16" t="s">
        <v>32</v>
      </c>
      <c r="B32" s="17">
        <f>' KESZI ktgvetési mérleg'!B31+'CSGYK ktgvetési mérleg'!B29+'Társulás ktgvetési mérleg'!B30</f>
        <v>0</v>
      </c>
      <c r="C32" s="17">
        <f t="shared" si="16"/>
        <v>0</v>
      </c>
      <c r="D32" s="18">
        <v>0</v>
      </c>
      <c r="E32" s="18">
        <v>0</v>
      </c>
      <c r="F32" s="17">
        <f t="shared" si="17"/>
        <v>0</v>
      </c>
      <c r="G32" s="17">
        <f>'CSGYK ktgvetési mérleg'!C29</f>
        <v>0</v>
      </c>
      <c r="H32" s="18">
        <v>0</v>
      </c>
      <c r="I32" s="17">
        <f t="shared" si="21"/>
        <v>0</v>
      </c>
      <c r="J32" s="17">
        <f>'CSGYK ktgvetési mérleg'!H29</f>
        <v>0</v>
      </c>
      <c r="K32" s="18">
        <v>0</v>
      </c>
      <c r="L32" s="17">
        <f t="shared" si="22"/>
        <v>0</v>
      </c>
      <c r="M32" s="17">
        <f>'CSGYK ktgvetési mérleg'!K29</f>
        <v>0</v>
      </c>
      <c r="N32" s="18">
        <v>0</v>
      </c>
      <c r="O32" s="17">
        <f t="shared" ref="O32" si="24">N32-P32</f>
        <v>0</v>
      </c>
      <c r="P32" s="17">
        <f>'CSGYK ktgvetési mérleg'!N29</f>
        <v>0</v>
      </c>
    </row>
    <row r="33" spans="1:16" ht="15.75" x14ac:dyDescent="0.25">
      <c r="A33" s="19" t="s">
        <v>33</v>
      </c>
      <c r="B33" s="39">
        <f t="shared" ref="B33:G33" si="25">B30+B25+B28</f>
        <v>1121313537</v>
      </c>
      <c r="C33" s="39">
        <f>SUM(C25:C30)</f>
        <v>1050879877</v>
      </c>
      <c r="D33" s="39">
        <f>SUM(D25:D32)</f>
        <v>70433660</v>
      </c>
      <c r="E33" s="39">
        <f t="shared" si="25"/>
        <v>1118953908</v>
      </c>
      <c r="F33" s="39">
        <f t="shared" si="25"/>
        <v>1048520248</v>
      </c>
      <c r="G33" s="88">
        <f t="shared" si="25"/>
        <v>70433660</v>
      </c>
      <c r="H33" s="39">
        <f t="shared" ref="H33:J33" si="26">H30+H25+H28</f>
        <v>1129401262</v>
      </c>
      <c r="I33" s="39">
        <f t="shared" si="26"/>
        <v>1058514755</v>
      </c>
      <c r="J33" s="88">
        <f t="shared" si="26"/>
        <v>70886507</v>
      </c>
      <c r="K33" s="39">
        <f>K30+K25+K28+K26</f>
        <v>1131410053</v>
      </c>
      <c r="L33" s="39">
        <f t="shared" ref="L33:M33" si="27">L30+L25+L28+L26</f>
        <v>1060499569</v>
      </c>
      <c r="M33" s="39">
        <f t="shared" si="27"/>
        <v>70910484</v>
      </c>
      <c r="N33" s="39">
        <f>N30+N25+N28+N26</f>
        <v>1122844742</v>
      </c>
      <c r="O33" s="39">
        <f t="shared" ref="O33:P33" si="28">O30+O25+O28+O26</f>
        <v>1046902573</v>
      </c>
      <c r="P33" s="39">
        <f t="shared" si="28"/>
        <v>75942169</v>
      </c>
    </row>
    <row r="34" spans="1:16" ht="15.75" x14ac:dyDescent="0.25">
      <c r="A34" s="16" t="s">
        <v>75</v>
      </c>
      <c r="B34" s="36">
        <f>' KESZI ktgvetési mérleg'!B33+'CSGYK ktgvetési mérleg'!B31+'Társulás ktgvetési mérleg'!B33</f>
        <v>313987330</v>
      </c>
      <c r="C34" s="36">
        <v>104735073</v>
      </c>
      <c r="D34" s="36">
        <v>209252257</v>
      </c>
      <c r="E34" s="36">
        <f>' KESZI ktgvetési mérleg'!C33+'CSGYK ktgvetési mérleg'!C31+'Társulás ktgvetési mérleg'!C33</f>
        <v>332106601</v>
      </c>
      <c r="F34" s="17">
        <v>114684604</v>
      </c>
      <c r="G34" s="36">
        <v>217421997</v>
      </c>
      <c r="H34" s="36">
        <f>' KESZI ktgvetési mérleg'!D33+'CSGYK ktgvetési mérleg'!D31+'Társulás ktgvetési mérleg'!D33</f>
        <v>332106601</v>
      </c>
      <c r="I34" s="17">
        <f>114684604+1979847</f>
        <v>116664451</v>
      </c>
      <c r="J34" s="36">
        <f>217421997-1979847</f>
        <v>215442150</v>
      </c>
      <c r="K34" s="36">
        <f>' KESZI ktgvetési mérleg'!E33+'CSGYK ktgvetési mérleg'!E31+'Társulás ktgvetési mérleg'!E33</f>
        <v>332106601</v>
      </c>
      <c r="L34" s="17">
        <v>115354304</v>
      </c>
      <c r="M34" s="36">
        <f>K34-L34</f>
        <v>216752297</v>
      </c>
      <c r="N34" s="36">
        <f>' KESZI ktgvetési mérleg'!F33+'CSGYK ktgvetési mérleg'!F31+'Társulás ktgvetési mérleg'!F33</f>
        <v>332106601</v>
      </c>
      <c r="O34" s="17">
        <f>N34-P34</f>
        <v>84765768</v>
      </c>
      <c r="P34" s="36">
        <f>'Társulás ktgvetési mérleg'!F33</f>
        <v>247340833</v>
      </c>
    </row>
    <row r="35" spans="1:16" ht="15.75" x14ac:dyDescent="0.25">
      <c r="A35" s="27" t="s">
        <v>35</v>
      </c>
      <c r="B35" s="38">
        <f>B33+B34</f>
        <v>1435300867</v>
      </c>
      <c r="C35" s="38">
        <f>SUM(C33:C34)</f>
        <v>1155614950</v>
      </c>
      <c r="D35" s="38">
        <f>SUM(D33:D34)</f>
        <v>279685917</v>
      </c>
      <c r="E35" s="38">
        <f>SUM(E33:E34)</f>
        <v>1451060509</v>
      </c>
      <c r="F35" s="38">
        <f t="shared" ref="F35:G35" si="29">SUM(F33:F34)</f>
        <v>1163204852</v>
      </c>
      <c r="G35" s="38">
        <f t="shared" si="29"/>
        <v>287855657</v>
      </c>
      <c r="H35" s="38">
        <f>SUM(H33:H34)</f>
        <v>1461507863</v>
      </c>
      <c r="I35" s="38">
        <f t="shared" ref="I35:J35" si="30">SUM(I33:I34)</f>
        <v>1175179206</v>
      </c>
      <c r="J35" s="38">
        <f t="shared" si="30"/>
        <v>286328657</v>
      </c>
      <c r="K35" s="38">
        <f>SUM(K33:K34)</f>
        <v>1463516654</v>
      </c>
      <c r="L35" s="38">
        <f t="shared" ref="L35:M35" si="31">SUM(L33:L34)</f>
        <v>1175853873</v>
      </c>
      <c r="M35" s="38">
        <f t="shared" si="31"/>
        <v>287662781</v>
      </c>
      <c r="N35" s="38">
        <f>SUM(N33:N34)</f>
        <v>1454951343</v>
      </c>
      <c r="O35" s="38">
        <f t="shared" ref="O35:P35" si="32">SUM(O33:O34)</f>
        <v>1131668341</v>
      </c>
      <c r="P35" s="38">
        <f t="shared" si="32"/>
        <v>323283002</v>
      </c>
    </row>
    <row r="36" spans="1:16" ht="15.75" x14ac:dyDescent="0.25">
      <c r="A36" s="28"/>
      <c r="B36" s="29"/>
      <c r="C36" s="29"/>
      <c r="D36" s="29"/>
      <c r="E36" s="29"/>
      <c r="F36" s="29"/>
      <c r="G36" s="29"/>
      <c r="H36" s="29"/>
    </row>
    <row r="38" spans="1:16" x14ac:dyDescent="0.25">
      <c r="A38" s="146" t="s">
        <v>143</v>
      </c>
    </row>
    <row r="40" spans="1:16" x14ac:dyDescent="0.25">
      <c r="A40" s="292"/>
      <c r="B40" s="292"/>
      <c r="C40" s="292"/>
      <c r="D40"/>
      <c r="E40"/>
      <c r="F40"/>
      <c r="G40"/>
      <c r="H40"/>
    </row>
  </sheetData>
  <mergeCells count="7">
    <mergeCell ref="A40:C40"/>
    <mergeCell ref="B1:C1"/>
    <mergeCell ref="A3:C3"/>
    <mergeCell ref="A4:C4"/>
    <mergeCell ref="A5:C5"/>
    <mergeCell ref="A6:C6"/>
    <mergeCell ref="A8:B8"/>
  </mergeCells>
  <phoneticPr fontId="13" type="noConversion"/>
  <pageMargins left="0.70826771653543308" right="0.70826771653543308" top="1.1417322834645671" bottom="1.1417322834645671" header="0.74803149606299213" footer="0.74803149606299213"/>
  <pageSetup paperSize="8" scale="9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>
    <pageSetUpPr fitToPage="1"/>
  </sheetPr>
  <dimension ref="A1:IX71"/>
  <sheetViews>
    <sheetView workbookViewId="0">
      <selection activeCell="I63" sqref="I63"/>
    </sheetView>
  </sheetViews>
  <sheetFormatPr defaultColWidth="8.75" defaultRowHeight="15" x14ac:dyDescent="0.25"/>
  <cols>
    <col min="1" max="1" width="48" style="1" customWidth="1"/>
    <col min="2" max="2" width="19.375" style="1" customWidth="1"/>
    <col min="3" max="3" width="16.5" style="1" hidden="1" customWidth="1"/>
    <col min="4" max="4" width="0.125" style="1" customWidth="1"/>
    <col min="5" max="6" width="15.125" style="1" customWidth="1"/>
    <col min="7" max="7" width="12" style="1" customWidth="1"/>
    <col min="8" max="8" width="11.375" style="1" bestFit="1" customWidth="1"/>
    <col min="9" max="9" width="13.75" style="1" bestFit="1" customWidth="1"/>
    <col min="10" max="16384" width="8.75" style="1"/>
  </cols>
  <sheetData>
    <row r="1" spans="1:254" x14ac:dyDescent="0.25">
      <c r="B1" s="293" t="s">
        <v>629</v>
      </c>
      <c r="C1" s="293"/>
      <c r="D1" s="3"/>
    </row>
    <row r="2" spans="1:254" x14ac:dyDescent="0.25">
      <c r="B2" s="2"/>
    </row>
    <row r="3" spans="1:254" x14ac:dyDescent="0.25">
      <c r="A3" s="289" t="s">
        <v>0</v>
      </c>
      <c r="B3" s="289"/>
      <c r="C3" s="289"/>
      <c r="D3" s="3"/>
    </row>
    <row r="4" spans="1:254" x14ac:dyDescent="0.25">
      <c r="A4" s="289" t="s">
        <v>137</v>
      </c>
      <c r="B4" s="289"/>
      <c r="C4" s="289"/>
      <c r="D4" s="3"/>
    </row>
    <row r="5" spans="1:254" ht="15.75" x14ac:dyDescent="0.25">
      <c r="A5" s="294" t="s">
        <v>11</v>
      </c>
      <c r="B5" s="294"/>
      <c r="C5" s="294"/>
      <c r="D5" s="11"/>
    </row>
    <row r="6" spans="1:254" ht="15.75" x14ac:dyDescent="0.25">
      <c r="A6" s="294" t="s">
        <v>100</v>
      </c>
      <c r="B6" s="294"/>
      <c r="C6" s="294"/>
      <c r="D6" s="11"/>
    </row>
    <row r="8" spans="1:254" ht="15.75" x14ac:dyDescent="0.25">
      <c r="B8" s="11" t="s">
        <v>36</v>
      </c>
      <c r="C8" s="11" t="s">
        <v>36</v>
      </c>
      <c r="E8" s="37"/>
      <c r="F8" s="37"/>
      <c r="G8" s="37"/>
    </row>
    <row r="9" spans="1:254" x14ac:dyDescent="0.25">
      <c r="A9" s="30" t="s">
        <v>37</v>
      </c>
      <c r="B9" s="31"/>
      <c r="C9" s="295"/>
      <c r="D9" s="295"/>
      <c r="E9" s="295"/>
      <c r="F9" s="158"/>
      <c r="G9" s="158"/>
    </row>
    <row r="10" spans="1:254" ht="15.75" x14ac:dyDescent="0.25">
      <c r="A10" s="13" t="s">
        <v>5</v>
      </c>
      <c r="B10" s="32" t="s">
        <v>14</v>
      </c>
      <c r="C10" s="71" t="s">
        <v>74</v>
      </c>
      <c r="D10" s="71" t="s">
        <v>74</v>
      </c>
      <c r="E10" s="32" t="s">
        <v>74</v>
      </c>
      <c r="F10" s="161" t="s">
        <v>136</v>
      </c>
      <c r="G10" s="161" t="s">
        <v>138</v>
      </c>
    </row>
    <row r="11" spans="1:254" ht="57.75" customHeight="1" x14ac:dyDescent="0.25">
      <c r="A11" s="14"/>
      <c r="B11" s="33" t="s">
        <v>108</v>
      </c>
      <c r="C11" s="15" t="s">
        <v>107</v>
      </c>
      <c r="D11" s="15" t="s">
        <v>124</v>
      </c>
      <c r="E11" s="33" t="s">
        <v>129</v>
      </c>
      <c r="F11" s="162">
        <v>43830</v>
      </c>
      <c r="G11" s="162" t="s">
        <v>139</v>
      </c>
    </row>
    <row r="12" spans="1:254" ht="15.75" x14ac:dyDescent="0.25">
      <c r="A12" s="16" t="s">
        <v>15</v>
      </c>
      <c r="B12" s="18">
        <v>487151222</v>
      </c>
      <c r="C12" s="72">
        <v>489844726</v>
      </c>
      <c r="D12" s="72">
        <v>472442283</v>
      </c>
      <c r="E12" s="18">
        <v>474524087</v>
      </c>
      <c r="F12" s="160">
        <v>442578200</v>
      </c>
      <c r="G12" s="163">
        <f>F12/E12</f>
        <v>0.93267804970245904</v>
      </c>
    </row>
    <row r="13" spans="1:254" ht="15.75" x14ac:dyDescent="0.25">
      <c r="A13" s="16" t="s">
        <v>16</v>
      </c>
      <c r="B13" s="18">
        <v>106059000</v>
      </c>
      <c r="C13" s="72">
        <v>106584233</v>
      </c>
      <c r="D13" s="72">
        <v>100023108</v>
      </c>
      <c r="E13" s="18">
        <v>98973575</v>
      </c>
      <c r="F13" s="160">
        <v>84147341</v>
      </c>
      <c r="G13" s="163">
        <f t="shared" ref="G13:G35" si="0">F13/E13</f>
        <v>0.850200076131432</v>
      </c>
    </row>
    <row r="14" spans="1:254" ht="15.75" x14ac:dyDescent="0.25">
      <c r="A14" s="16" t="s">
        <v>17</v>
      </c>
      <c r="B14" s="18">
        <v>225887162</v>
      </c>
      <c r="C14" s="72">
        <v>222087162</v>
      </c>
      <c r="D14" s="72">
        <v>247614326</v>
      </c>
      <c r="E14" s="18">
        <v>257461661</v>
      </c>
      <c r="F14" s="160">
        <v>249266645</v>
      </c>
      <c r="G14" s="163">
        <f t="shared" si="0"/>
        <v>0.96816995599201083</v>
      </c>
    </row>
    <row r="15" spans="1:254" ht="15.75" x14ac:dyDescent="0.25">
      <c r="A15" s="16" t="s">
        <v>76</v>
      </c>
      <c r="B15" s="18">
        <v>600000</v>
      </c>
      <c r="C15" s="72">
        <v>600000</v>
      </c>
      <c r="D15" s="72">
        <v>600000</v>
      </c>
      <c r="E15" s="18">
        <v>723100</v>
      </c>
      <c r="F15" s="160">
        <v>723020</v>
      </c>
      <c r="G15" s="163">
        <f t="shared" si="0"/>
        <v>0.99988936523302452</v>
      </c>
    </row>
    <row r="16" spans="1:254" customFormat="1" ht="15.75" x14ac:dyDescent="0.25">
      <c r="A16" s="16" t="s">
        <v>77</v>
      </c>
      <c r="B16" s="18">
        <v>0</v>
      </c>
      <c r="C16" s="72">
        <v>0</v>
      </c>
      <c r="D16" s="72">
        <v>0</v>
      </c>
      <c r="E16" s="18">
        <v>0</v>
      </c>
      <c r="F16" s="160"/>
      <c r="G16" s="16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7" ht="15.75" x14ac:dyDescent="0.25">
      <c r="A17" s="16" t="s">
        <v>19</v>
      </c>
      <c r="B17" s="18">
        <f>6664701+5344011</f>
        <v>12008712</v>
      </c>
      <c r="C17" s="72">
        <f>10464701+13168593</f>
        <v>23633294</v>
      </c>
      <c r="D17" s="72">
        <f>18353701+13844379</f>
        <v>32198080</v>
      </c>
      <c r="E17" s="18">
        <f>18353701+13844379</f>
        <v>32198080</v>
      </c>
      <c r="F17" s="160">
        <f>14834020+12723524</f>
        <v>27557544</v>
      </c>
      <c r="G17" s="163">
        <f t="shared" si="0"/>
        <v>0.85587538138920083</v>
      </c>
    </row>
    <row r="18" spans="1:7" ht="15.75" x14ac:dyDescent="0.25">
      <c r="A18" s="16" t="s">
        <v>20</v>
      </c>
      <c r="B18" s="18">
        <v>0</v>
      </c>
      <c r="C18" s="72">
        <v>0</v>
      </c>
      <c r="D18" s="72">
        <v>0</v>
      </c>
      <c r="E18" s="18">
        <v>0</v>
      </c>
      <c r="F18" s="160"/>
      <c r="G18" s="163"/>
    </row>
    <row r="19" spans="1:7" ht="15.75" x14ac:dyDescent="0.25">
      <c r="A19" s="16" t="s">
        <v>90</v>
      </c>
      <c r="B19" s="18">
        <v>0</v>
      </c>
      <c r="C19" s="72">
        <v>7693079</v>
      </c>
      <c r="D19" s="72">
        <v>7693079</v>
      </c>
      <c r="E19" s="18">
        <v>7693079</v>
      </c>
      <c r="F19" s="160">
        <v>7693079</v>
      </c>
      <c r="G19" s="163">
        <f t="shared" si="0"/>
        <v>1</v>
      </c>
    </row>
    <row r="20" spans="1:7" ht="15.75" x14ac:dyDescent="0.25">
      <c r="A20" s="19" t="s">
        <v>21</v>
      </c>
      <c r="B20" s="20">
        <f>SUM(B12:B19)</f>
        <v>831706096</v>
      </c>
      <c r="C20" s="73">
        <f>SUM(C12:C19)</f>
        <v>850442494</v>
      </c>
      <c r="D20" s="73">
        <f>SUM(D12:D19)</f>
        <v>860570876</v>
      </c>
      <c r="E20" s="21">
        <f>SUM(E12:E19)</f>
        <v>871573582</v>
      </c>
      <c r="F20" s="21">
        <f t="shared" ref="F20" si="1">SUM(F12:F19)</f>
        <v>811965829</v>
      </c>
      <c r="G20" s="163">
        <f t="shared" si="0"/>
        <v>0.93160904112855503</v>
      </c>
    </row>
    <row r="21" spans="1:7" ht="15.75" hidden="1" customHeight="1" x14ac:dyDescent="0.25">
      <c r="A21" s="16" t="s">
        <v>23</v>
      </c>
      <c r="B21" s="17" t="s">
        <v>24</v>
      </c>
      <c r="C21" s="75"/>
      <c r="D21" s="75"/>
      <c r="E21" s="156"/>
      <c r="F21" s="160"/>
      <c r="G21" s="163" t="e">
        <f t="shared" si="0"/>
        <v>#DIV/0!</v>
      </c>
    </row>
    <row r="22" spans="1:7" ht="15.75" x14ac:dyDescent="0.25">
      <c r="A22" s="25" t="s">
        <v>25</v>
      </c>
      <c r="B22" s="22">
        <f>SUM(B20)</f>
        <v>831706096</v>
      </c>
      <c r="C22" s="74">
        <f>SUM(C20)</f>
        <v>850442494</v>
      </c>
      <c r="D22" s="74">
        <f>SUM(D20)</f>
        <v>860570876</v>
      </c>
      <c r="E22" s="23">
        <f>SUM(E20)</f>
        <v>871573582</v>
      </c>
      <c r="F22" s="23">
        <f>SUM(F20)</f>
        <v>811965829</v>
      </c>
      <c r="G22" s="163">
        <f t="shared" si="0"/>
        <v>0.93160904112855503</v>
      </c>
    </row>
    <row r="23" spans="1:7" ht="15.75" x14ac:dyDescent="0.25">
      <c r="A23" s="26"/>
      <c r="B23" s="24"/>
      <c r="C23" s="75"/>
      <c r="D23" s="75"/>
      <c r="E23" s="156"/>
      <c r="F23" s="160"/>
      <c r="G23" s="36"/>
    </row>
    <row r="24" spans="1:7" ht="15.75" x14ac:dyDescent="0.25">
      <c r="A24" s="16" t="s">
        <v>26</v>
      </c>
      <c r="B24" s="18">
        <v>291600000</v>
      </c>
      <c r="C24" s="72">
        <v>291600000</v>
      </c>
      <c r="D24" s="72">
        <v>291600000</v>
      </c>
      <c r="E24" s="18">
        <v>291600000</v>
      </c>
      <c r="F24" s="160">
        <v>289209595</v>
      </c>
      <c r="G24" s="163">
        <f t="shared" si="0"/>
        <v>0.99180245198902606</v>
      </c>
    </row>
    <row r="25" spans="1:7" ht="15.75" x14ac:dyDescent="0.25">
      <c r="A25" s="16" t="s">
        <v>130</v>
      </c>
      <c r="B25" s="18">
        <v>0</v>
      </c>
      <c r="C25" s="72">
        <v>0</v>
      </c>
      <c r="D25" s="72">
        <v>0</v>
      </c>
      <c r="E25" s="18">
        <v>2011700</v>
      </c>
      <c r="F25" s="160">
        <v>2378700</v>
      </c>
      <c r="G25" s="163">
        <f t="shared" si="0"/>
        <v>1.1824327683054134</v>
      </c>
    </row>
    <row r="26" spans="1:7" ht="15.75" x14ac:dyDescent="0.25">
      <c r="A26" s="16" t="s">
        <v>28</v>
      </c>
      <c r="B26" s="18">
        <v>0</v>
      </c>
      <c r="C26" s="72">
        <v>0</v>
      </c>
      <c r="D26" s="72">
        <v>0</v>
      </c>
      <c r="E26" s="18">
        <v>0</v>
      </c>
      <c r="F26" s="160"/>
      <c r="G26" s="163"/>
    </row>
    <row r="27" spans="1:7" ht="15.75" x14ac:dyDescent="0.25">
      <c r="A27" s="16" t="s">
        <v>29</v>
      </c>
      <c r="B27" s="18">
        <v>0</v>
      </c>
      <c r="C27" s="72">
        <v>0</v>
      </c>
      <c r="D27" s="72">
        <v>0</v>
      </c>
      <c r="E27" s="18">
        <v>0</v>
      </c>
      <c r="F27" s="160"/>
      <c r="G27" s="163"/>
    </row>
    <row r="28" spans="1:7" ht="15.75" x14ac:dyDescent="0.25">
      <c r="A28" s="16" t="s">
        <v>30</v>
      </c>
      <c r="B28" s="18">
        <v>63799180</v>
      </c>
      <c r="C28" s="72">
        <v>30216150</v>
      </c>
      <c r="D28" s="72">
        <f>22618929+2011700</f>
        <v>24630629</v>
      </c>
      <c r="E28" s="18">
        <v>10409769</v>
      </c>
      <c r="F28" s="160">
        <v>4188793</v>
      </c>
      <c r="G28" s="163">
        <f t="shared" si="0"/>
        <v>0.40239058138561962</v>
      </c>
    </row>
    <row r="29" spans="1:7" ht="15.75" x14ac:dyDescent="0.25">
      <c r="A29" s="16" t="s">
        <v>31</v>
      </c>
      <c r="B29" s="18">
        <v>0</v>
      </c>
      <c r="C29" s="72">
        <v>0</v>
      </c>
      <c r="D29" s="72">
        <v>0</v>
      </c>
      <c r="E29" s="18">
        <v>0</v>
      </c>
      <c r="F29" s="160"/>
      <c r="G29" s="163"/>
    </row>
    <row r="30" spans="1:7" ht="15.75" x14ac:dyDescent="0.25">
      <c r="A30" s="16" t="s">
        <v>38</v>
      </c>
      <c r="B30" s="18">
        <v>412288833</v>
      </c>
      <c r="C30" s="72">
        <v>446930060</v>
      </c>
      <c r="D30" s="72">
        <v>462643963</v>
      </c>
      <c r="E30" s="18">
        <v>485855829</v>
      </c>
      <c r="F30" s="160">
        <v>485855829</v>
      </c>
      <c r="G30" s="163">
        <f t="shared" si="0"/>
        <v>1</v>
      </c>
    </row>
    <row r="31" spans="1:7" ht="15.75" x14ac:dyDescent="0.25">
      <c r="A31" s="16" t="s">
        <v>32</v>
      </c>
      <c r="B31" s="18">
        <v>0</v>
      </c>
      <c r="C31" s="72">
        <v>0</v>
      </c>
      <c r="D31" s="72">
        <v>0</v>
      </c>
      <c r="E31" s="18">
        <v>0</v>
      </c>
      <c r="F31" s="160"/>
      <c r="G31" s="163"/>
    </row>
    <row r="32" spans="1:7" ht="15.75" x14ac:dyDescent="0.25">
      <c r="A32" s="19" t="s">
        <v>33</v>
      </c>
      <c r="B32" s="20">
        <f>SUM(B31+B30+B28+B26+B24)</f>
        <v>767688013</v>
      </c>
      <c r="C32" s="85">
        <f>SUM(C31+C30+C28+C26+C24)</f>
        <v>768746210</v>
      </c>
      <c r="D32" s="85">
        <f>SUM(D31+D30+D28+D26+D24)</f>
        <v>778874592</v>
      </c>
      <c r="E32" s="39">
        <f>SUM(E31+E30+E28+E26+E24+E25)</f>
        <v>789877298</v>
      </c>
      <c r="F32" s="39">
        <f>SUM(F31+F30+F28+F26+F24+F25)</f>
        <v>781632917</v>
      </c>
      <c r="G32" s="163">
        <f t="shared" si="0"/>
        <v>0.98956245353439698</v>
      </c>
    </row>
    <row r="33" spans="1:9" ht="15.75" x14ac:dyDescent="0.25">
      <c r="A33" s="16" t="s">
        <v>75</v>
      </c>
      <c r="B33" s="18">
        <v>64018083</v>
      </c>
      <c r="C33" s="36">
        <v>81696284</v>
      </c>
      <c r="D33" s="36">
        <v>81696284</v>
      </c>
      <c r="E33" s="160">
        <v>81696284</v>
      </c>
      <c r="F33" s="160">
        <v>81696284</v>
      </c>
      <c r="G33" s="163">
        <f t="shared" si="0"/>
        <v>1</v>
      </c>
    </row>
    <row r="34" spans="1:9" ht="15.75" hidden="1" customHeight="1" x14ac:dyDescent="0.25">
      <c r="A34" s="16" t="s">
        <v>34</v>
      </c>
      <c r="B34" s="17" t="s">
        <v>24</v>
      </c>
      <c r="C34" s="75"/>
      <c r="D34" s="75"/>
      <c r="E34" s="156"/>
      <c r="F34" s="160"/>
      <c r="G34" s="163" t="e">
        <f t="shared" si="0"/>
        <v>#DIV/0!</v>
      </c>
    </row>
    <row r="35" spans="1:9" ht="15.75" x14ac:dyDescent="0.25">
      <c r="A35" s="27" t="s">
        <v>35</v>
      </c>
      <c r="B35" s="22">
        <f>B32+B33</f>
        <v>831706096</v>
      </c>
      <c r="C35" s="74">
        <f>C32+C33</f>
        <v>850442494</v>
      </c>
      <c r="D35" s="74">
        <f>D32+D33</f>
        <v>860570876</v>
      </c>
      <c r="E35" s="23">
        <f>E32+E33</f>
        <v>871573582</v>
      </c>
      <c r="F35" s="23">
        <f>F32+F33</f>
        <v>863329201</v>
      </c>
      <c r="G35" s="163">
        <f t="shared" si="0"/>
        <v>0.99054080898014185</v>
      </c>
    </row>
    <row r="38" spans="1:9" x14ac:dyDescent="0.25">
      <c r="B38" s="44" t="s">
        <v>39</v>
      </c>
      <c r="C38" s="43"/>
      <c r="D38" s="43"/>
      <c r="E38" s="43"/>
      <c r="F38" s="43"/>
      <c r="G38" s="43"/>
      <c r="H38" s="43"/>
      <c r="I38" s="43"/>
    </row>
    <row r="39" spans="1:9" ht="66.75" customHeight="1" x14ac:dyDescent="0.25">
      <c r="A39" s="132" t="s">
        <v>119</v>
      </c>
      <c r="B39" s="125" t="s">
        <v>141</v>
      </c>
      <c r="C39" s="125" t="s">
        <v>114</v>
      </c>
      <c r="D39" s="125" t="s">
        <v>125</v>
      </c>
      <c r="E39" s="125" t="s">
        <v>142</v>
      </c>
      <c r="F39" s="125" t="s">
        <v>140</v>
      </c>
      <c r="G39" s="125"/>
      <c r="H39" s="37"/>
    </row>
    <row r="40" spans="1:9" x14ac:dyDescent="0.25">
      <c r="A40" s="86" t="s">
        <v>40</v>
      </c>
      <c r="B40" s="90">
        <v>25880800</v>
      </c>
      <c r="C40" s="90">
        <f>B40+730752</f>
        <v>26611552</v>
      </c>
      <c r="D40" s="90">
        <v>26611552</v>
      </c>
      <c r="E40" s="90">
        <f>állami!G11</f>
        <v>31408344</v>
      </c>
      <c r="F40" s="90">
        <f>E40</f>
        <v>31408344</v>
      </c>
      <c r="G40" s="159"/>
      <c r="H40" s="37"/>
    </row>
    <row r="41" spans="1:9" x14ac:dyDescent="0.25">
      <c r="A41" s="86" t="s">
        <v>41</v>
      </c>
      <c r="B41" s="90">
        <v>63921000</v>
      </c>
      <c r="C41" s="90">
        <f>B41-4719000</f>
        <v>59202000</v>
      </c>
      <c r="D41" s="90">
        <v>59202000</v>
      </c>
      <c r="E41" s="90">
        <f>állami!F12</f>
        <v>56199000</v>
      </c>
      <c r="F41" s="90">
        <f>E41</f>
        <v>56199000</v>
      </c>
      <c r="G41" s="159"/>
      <c r="H41" s="37"/>
    </row>
    <row r="42" spans="1:9" x14ac:dyDescent="0.25">
      <c r="A42" s="86" t="s">
        <v>42</v>
      </c>
      <c r="B42" s="90">
        <v>8992500</v>
      </c>
      <c r="C42" s="90">
        <f>B42-1144500+6683000</f>
        <v>14531000</v>
      </c>
      <c r="D42" s="90">
        <v>14531000</v>
      </c>
      <c r="E42" s="90">
        <f>állami!F13</f>
        <v>14204000</v>
      </c>
      <c r="F42" s="90">
        <f>E42</f>
        <v>14204000</v>
      </c>
      <c r="G42" s="159"/>
      <c r="H42" s="37"/>
    </row>
    <row r="43" spans="1:9" x14ac:dyDescent="0.25">
      <c r="A43" s="87" t="s">
        <v>44</v>
      </c>
      <c r="B43" s="90">
        <f>9350000+2200000+9900000</f>
        <v>21450000</v>
      </c>
      <c r="C43" s="90">
        <f>B43+1100000+220000+6050000+8108000</f>
        <v>36928000</v>
      </c>
      <c r="D43" s="90">
        <v>36928000</v>
      </c>
      <c r="E43" s="90">
        <f>állami!F14</f>
        <v>36708000</v>
      </c>
      <c r="F43" s="90">
        <f t="shared" ref="F43:F59" si="2">E43</f>
        <v>36708000</v>
      </c>
      <c r="G43" s="159"/>
      <c r="H43" s="37"/>
    </row>
    <row r="44" spans="1:9" x14ac:dyDescent="0.25">
      <c r="A44" s="86" t="s">
        <v>45</v>
      </c>
      <c r="B44" s="90">
        <v>8903520</v>
      </c>
      <c r="C44" s="90">
        <f>B44+1426000</f>
        <v>10329520</v>
      </c>
      <c r="D44" s="90">
        <v>10329520</v>
      </c>
      <c r="E44" s="90">
        <f>8903520+1426000</f>
        <v>10329520</v>
      </c>
      <c r="F44" s="90">
        <f t="shared" si="2"/>
        <v>10329520</v>
      </c>
      <c r="G44" s="159"/>
      <c r="H44" s="37"/>
    </row>
    <row r="45" spans="1:9" x14ac:dyDescent="0.25">
      <c r="A45" s="86" t="s">
        <v>46</v>
      </c>
      <c r="B45" s="90">
        <v>19404000</v>
      </c>
      <c r="C45" s="90">
        <f>B45+1617000+3142000</f>
        <v>24163000</v>
      </c>
      <c r="D45" s="90">
        <f>24163000+5032950</f>
        <v>29195950</v>
      </c>
      <c r="E45" s="90">
        <f>állami!F16</f>
        <v>24163000</v>
      </c>
      <c r="F45" s="90">
        <f t="shared" si="2"/>
        <v>24163000</v>
      </c>
      <c r="G45" s="159"/>
      <c r="H45" s="37"/>
    </row>
    <row r="46" spans="1:9" x14ac:dyDescent="0.25">
      <c r="A46" s="86" t="s">
        <v>47</v>
      </c>
      <c r="B46" s="90">
        <v>92616063</v>
      </c>
      <c r="C46" s="90">
        <f>B46+2848000+1926838</f>
        <v>97390901</v>
      </c>
      <c r="D46" s="90">
        <v>97390901</v>
      </c>
      <c r="E46" s="90">
        <f>96832000/125*115</f>
        <v>89085440</v>
      </c>
      <c r="F46" s="90">
        <f t="shared" si="2"/>
        <v>89085440</v>
      </c>
      <c r="G46" s="159"/>
      <c r="H46" s="37"/>
    </row>
    <row r="47" spans="1:9" x14ac:dyDescent="0.25">
      <c r="A47" s="87" t="s">
        <v>126</v>
      </c>
      <c r="B47" s="90">
        <v>33574252</v>
      </c>
      <c r="C47" s="90">
        <f>B47+39209000</f>
        <v>72783252</v>
      </c>
      <c r="D47" s="90">
        <v>72783252</v>
      </c>
      <c r="E47" s="90">
        <f>44388000/125*115</f>
        <v>40836960</v>
      </c>
      <c r="F47" s="90">
        <f t="shared" si="2"/>
        <v>40836960</v>
      </c>
      <c r="G47" s="159"/>
      <c r="H47" s="37"/>
    </row>
    <row r="48" spans="1:9" ht="30" x14ac:dyDescent="0.25">
      <c r="A48" s="46" t="s">
        <v>91</v>
      </c>
      <c r="B48" s="91">
        <v>43579173</v>
      </c>
      <c r="C48" s="90">
        <f>B48-60374000-6702252</f>
        <v>-23497079</v>
      </c>
      <c r="D48" s="90">
        <v>12987932</v>
      </c>
      <c r="E48" s="90">
        <f>19650397-10972489</f>
        <v>8677908</v>
      </c>
      <c r="F48" s="90">
        <f t="shared" si="2"/>
        <v>8677908</v>
      </c>
      <c r="G48" s="159"/>
      <c r="H48" s="37"/>
    </row>
    <row r="49" spans="1:258" x14ac:dyDescent="0.25">
      <c r="A49" s="82" t="s">
        <v>93</v>
      </c>
      <c r="B49" s="92">
        <f>9995600+14576640</f>
        <v>24572240</v>
      </c>
      <c r="C49" s="90">
        <f>B49</f>
        <v>24572240</v>
      </c>
      <c r="D49" s="90">
        <v>24572240</v>
      </c>
      <c r="E49" s="90">
        <f>D49+307200</f>
        <v>24879440</v>
      </c>
      <c r="F49" s="90">
        <f t="shared" si="2"/>
        <v>24879440</v>
      </c>
      <c r="G49" s="159"/>
      <c r="H49" s="37"/>
    </row>
    <row r="50" spans="1:258" customFormat="1" x14ac:dyDescent="0.25">
      <c r="A50" s="83" t="s">
        <v>94</v>
      </c>
      <c r="B50" s="91">
        <v>69395285</v>
      </c>
      <c r="C50" s="90">
        <f>B50</f>
        <v>69395285</v>
      </c>
      <c r="D50" s="90">
        <v>32910274</v>
      </c>
      <c r="E50" s="90">
        <f>32910274+15195429+15386158-5830239-15386158+10666000+5830239+5032950+7012201+10972489-4675000-844084</f>
        <v>76270259</v>
      </c>
      <c r="F50" s="90">
        <f t="shared" si="2"/>
        <v>76270259</v>
      </c>
      <c r="G50" s="159"/>
      <c r="H50" s="275" t="s">
        <v>153</v>
      </c>
      <c r="I50" s="276">
        <v>95446589</v>
      </c>
      <c r="J50" s="277" t="s">
        <v>151</v>
      </c>
      <c r="K50" s="27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</row>
    <row r="51" spans="1:258" s="104" customFormat="1" x14ac:dyDescent="0.25">
      <c r="A51" s="83" t="s">
        <v>115</v>
      </c>
      <c r="B51" s="91"/>
      <c r="C51" s="90">
        <v>31499757</v>
      </c>
      <c r="D51" s="90">
        <f>C51+4311698+4294595</f>
        <v>40106050</v>
      </c>
      <c r="E51" s="90">
        <f>D51+4242312+4197550+4286841</f>
        <v>52832753</v>
      </c>
      <c r="F51" s="90">
        <f t="shared" si="2"/>
        <v>52832753</v>
      </c>
      <c r="G51" s="159"/>
      <c r="H51" s="275" t="s">
        <v>153</v>
      </c>
      <c r="I51" s="276">
        <v>7804300</v>
      </c>
      <c r="J51" s="277" t="s">
        <v>152</v>
      </c>
      <c r="K51" s="27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</row>
    <row r="52" spans="1:258" s="104" customFormat="1" x14ac:dyDescent="0.25">
      <c r="A52" s="83" t="s">
        <v>98</v>
      </c>
      <c r="B52" s="91"/>
      <c r="C52" s="90">
        <v>1683474</v>
      </c>
      <c r="D52" s="90">
        <f>C52+214084+212208</f>
        <v>2109766</v>
      </c>
      <c r="E52" s="90">
        <v>2683764</v>
      </c>
      <c r="F52" s="90">
        <f t="shared" si="2"/>
        <v>2683764</v>
      </c>
      <c r="G52" s="159"/>
      <c r="H52" s="275"/>
      <c r="I52" s="276">
        <f>SUM(I50:I51)</f>
        <v>103250889</v>
      </c>
      <c r="J52" s="277"/>
      <c r="K52" s="27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</row>
    <row r="53" spans="1:258" s="104" customFormat="1" ht="45" x14ac:dyDescent="0.25">
      <c r="A53" s="83" t="s">
        <v>116</v>
      </c>
      <c r="B53" s="91"/>
      <c r="C53" s="90">
        <v>278961</v>
      </c>
      <c r="D53" s="90">
        <f>C53+18988+25505</f>
        <v>323454</v>
      </c>
      <c r="E53" s="90">
        <f>D53+25506+25505+25504+24128</f>
        <v>424097</v>
      </c>
      <c r="F53" s="90">
        <f t="shared" si="2"/>
        <v>424097</v>
      </c>
      <c r="G53" s="159"/>
      <c r="H53" s="278" t="s">
        <v>154</v>
      </c>
      <c r="I53" s="276">
        <v>871999</v>
      </c>
      <c r="J53" s="277" t="s">
        <v>151</v>
      </c>
      <c r="K53" s="27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</row>
    <row r="54" spans="1:258" s="104" customFormat="1" x14ac:dyDescent="0.25">
      <c r="A54" s="83" t="s">
        <v>117</v>
      </c>
      <c r="B54" s="91"/>
      <c r="C54" s="90">
        <v>3218737</v>
      </c>
      <c r="D54" s="90">
        <f>C54+1365000+238875</f>
        <v>4822612</v>
      </c>
      <c r="E54" s="174">
        <f>D54+2446121</f>
        <v>7268733</v>
      </c>
      <c r="F54" s="90">
        <f t="shared" si="2"/>
        <v>7268733</v>
      </c>
      <c r="G54" s="159"/>
      <c r="H54" s="275"/>
      <c r="I54" s="276">
        <v>71300</v>
      </c>
      <c r="J54" s="277" t="s">
        <v>152</v>
      </c>
      <c r="K54" s="27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</row>
    <row r="55" spans="1:258" s="104" customFormat="1" x14ac:dyDescent="0.25">
      <c r="A55" s="83" t="s">
        <v>158</v>
      </c>
      <c r="B55" s="91"/>
      <c r="C55" s="90">
        <f>1994343+5830239</f>
        <v>7824582</v>
      </c>
      <c r="D55" s="90">
        <v>7824582</v>
      </c>
      <c r="E55" s="174">
        <v>1994343</v>
      </c>
      <c r="F55" s="90">
        <f t="shared" si="2"/>
        <v>1994343</v>
      </c>
      <c r="G55" s="159"/>
      <c r="H55" s="275"/>
      <c r="I55" s="276">
        <f>I52-I53-I54</f>
        <v>102307590</v>
      </c>
      <c r="J55" s="277"/>
      <c r="K55" s="277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</row>
    <row r="56" spans="1:258" s="146" customFormat="1" ht="45" x14ac:dyDescent="0.25">
      <c r="A56" s="152" t="s">
        <v>131</v>
      </c>
      <c r="B56" s="91">
        <v>0</v>
      </c>
      <c r="C56" s="90">
        <v>0</v>
      </c>
      <c r="D56" s="90">
        <v>0</v>
      </c>
      <c r="E56" s="174">
        <v>7012201</v>
      </c>
      <c r="F56" s="90">
        <f t="shared" si="2"/>
        <v>7012201</v>
      </c>
      <c r="G56" s="159"/>
      <c r="H56" s="275"/>
      <c r="I56" s="277"/>
      <c r="J56" s="277"/>
      <c r="K56" s="277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</row>
    <row r="57" spans="1:258" s="104" customFormat="1" x14ac:dyDescent="0.25">
      <c r="A57" s="83" t="s">
        <v>118</v>
      </c>
      <c r="B57" s="91"/>
      <c r="C57" s="90">
        <v>7693079</v>
      </c>
      <c r="D57" s="90">
        <v>7693079</v>
      </c>
      <c r="E57" s="174">
        <v>7693079</v>
      </c>
      <c r="F57" s="90">
        <f t="shared" si="2"/>
        <v>7693079</v>
      </c>
      <c r="G57" s="159"/>
      <c r="H57" s="275"/>
      <c r="I57" s="277">
        <f>SUM(E54,E56:E57,E60)</f>
        <v>4295812</v>
      </c>
      <c r="J57" s="277"/>
      <c r="K57" s="277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</row>
    <row r="58" spans="1:258" s="155" customFormat="1" ht="30" x14ac:dyDescent="0.25">
      <c r="A58" s="170" t="s">
        <v>155</v>
      </c>
      <c r="B58" s="91"/>
      <c r="C58" s="90"/>
      <c r="D58" s="90"/>
      <c r="E58" s="90">
        <v>5032950</v>
      </c>
      <c r="F58" s="90">
        <f t="shared" si="2"/>
        <v>5032950</v>
      </c>
      <c r="G58" s="159"/>
      <c r="H58" s="275"/>
      <c r="I58" s="277"/>
      <c r="J58" s="277"/>
      <c r="K58" s="277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</row>
    <row r="59" spans="1:258" s="155" customFormat="1" x14ac:dyDescent="0.25">
      <c r="A59" s="170" t="s">
        <v>156</v>
      </c>
      <c r="B59" s="91"/>
      <c r="C59" s="90"/>
      <c r="D59" s="90"/>
      <c r="E59" s="90">
        <v>5830239</v>
      </c>
      <c r="F59" s="90">
        <f t="shared" si="2"/>
        <v>5830239</v>
      </c>
      <c r="G59" s="159"/>
      <c r="H59" s="37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</row>
    <row r="60" spans="1:258" s="104" customFormat="1" x14ac:dyDescent="0.25">
      <c r="A60" s="83" t="s">
        <v>157</v>
      </c>
      <c r="B60" s="91"/>
      <c r="C60" s="90">
        <v>-17678201</v>
      </c>
      <c r="D60" s="90">
        <v>-17678201</v>
      </c>
      <c r="E60" s="174">
        <f>-17678201</f>
        <v>-17678201</v>
      </c>
      <c r="F60" s="90">
        <f>E60</f>
        <v>-17678201</v>
      </c>
      <c r="G60" s="159"/>
      <c r="H60" s="37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</row>
    <row r="61" spans="1:258" s="93" customFormat="1" x14ac:dyDescent="0.25">
      <c r="A61" s="43"/>
      <c r="B61" s="84">
        <f>SUM(B40:B50)</f>
        <v>412288833</v>
      </c>
      <c r="C61" s="84">
        <f>SUM(C40:C60)</f>
        <v>446930060</v>
      </c>
      <c r="D61" s="84">
        <f>SUM(D40:D60)</f>
        <v>462643963</v>
      </c>
      <c r="E61" s="84">
        <f>SUM(E40:E60)</f>
        <v>485855829</v>
      </c>
      <c r="F61" s="84">
        <f>SUM(F40:F60)</f>
        <v>485855829</v>
      </c>
      <c r="G61" s="84"/>
      <c r="H61" s="37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</row>
    <row r="62" spans="1:258" s="93" customFormat="1" x14ac:dyDescent="0.25">
      <c r="A62" s="43"/>
      <c r="B62" s="84"/>
      <c r="C62" s="84"/>
      <c r="D62" s="84"/>
      <c r="E62" s="169">
        <f>E61-E30</f>
        <v>0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</row>
    <row r="63" spans="1:258" s="93" customFormat="1" x14ac:dyDescent="0.25">
      <c r="A63" s="43"/>
      <c r="B63" s="43"/>
      <c r="C63" s="43"/>
      <c r="D63" s="43"/>
      <c r="E63" s="1"/>
      <c r="F63" s="1"/>
      <c r="G63" s="1"/>
      <c r="H63" s="1"/>
      <c r="I63" s="169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</row>
    <row r="64" spans="1:258" s="93" customForma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</row>
    <row r="65" spans="1:257" s="93" customForma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</row>
    <row r="66" spans="1:257" customFormat="1" x14ac:dyDescent="0.25">
      <c r="A66" s="146" t="s">
        <v>143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</row>
    <row r="67" spans="1:257" s="70" customForma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</row>
    <row r="68" spans="1:257" s="70" customForma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:257" s="70" customForma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:257" customForma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:257" customForma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</sheetData>
  <mergeCells count="6">
    <mergeCell ref="C9:E9"/>
    <mergeCell ref="A6:C6"/>
    <mergeCell ref="B1:C1"/>
    <mergeCell ref="A3:C3"/>
    <mergeCell ref="A4:C4"/>
    <mergeCell ref="A5:C5"/>
  </mergeCells>
  <phoneticPr fontId="13" type="noConversion"/>
  <pageMargins left="0.70000000000000007" right="0.70000000000000007" top="1.1437007874015752" bottom="1.1437007874015752" header="0.75000000000000011" footer="0.75000000000000011"/>
  <pageSetup paperSize="8" scale="7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"/>
  <dimension ref="A1:IW53"/>
  <sheetViews>
    <sheetView view="pageBreakPreview" topLeftCell="A4" zoomScale="60" zoomScaleNormal="100" workbookViewId="0">
      <selection activeCell="E48" sqref="E48:F48"/>
    </sheetView>
  </sheetViews>
  <sheetFormatPr defaultColWidth="8.75" defaultRowHeight="15" x14ac:dyDescent="0.25"/>
  <cols>
    <col min="1" max="1" width="53.625" style="1" customWidth="1"/>
    <col min="2" max="2" width="21.25" style="1" customWidth="1"/>
    <col min="3" max="4" width="23.25" style="1" hidden="1" customWidth="1"/>
    <col min="5" max="6" width="20.125" style="37" customWidth="1"/>
    <col min="7" max="7" width="12.625" style="37" customWidth="1"/>
    <col min="8" max="8" width="12.5" style="37" customWidth="1"/>
    <col min="9" max="9" width="10.875" style="1" bestFit="1" customWidth="1"/>
    <col min="10" max="16384" width="8.75" style="1"/>
  </cols>
  <sheetData>
    <row r="1" spans="1:256" x14ac:dyDescent="0.25">
      <c r="B1" s="289" t="s">
        <v>630</v>
      </c>
      <c r="C1" s="289"/>
    </row>
    <row r="2" spans="1:256" x14ac:dyDescent="0.25">
      <c r="B2" s="2"/>
    </row>
    <row r="3" spans="1:256" x14ac:dyDescent="0.25">
      <c r="A3" s="289" t="s">
        <v>0</v>
      </c>
      <c r="B3" s="289"/>
      <c r="C3" s="289"/>
    </row>
    <row r="4" spans="1:256" x14ac:dyDescent="0.25">
      <c r="A4" s="289" t="s">
        <v>144</v>
      </c>
      <c r="B4" s="289"/>
      <c r="C4" s="289"/>
    </row>
    <row r="5" spans="1:256" ht="15.75" x14ac:dyDescent="0.25">
      <c r="A5" s="294" t="s">
        <v>11</v>
      </c>
      <c r="B5" s="294"/>
      <c r="C5" s="294"/>
    </row>
    <row r="6" spans="1:256" ht="15.75" x14ac:dyDescent="0.25">
      <c r="A6" s="294" t="s">
        <v>39</v>
      </c>
      <c r="B6" s="294"/>
      <c r="C6" s="294"/>
    </row>
    <row r="8" spans="1:256" ht="15.75" x14ac:dyDescent="0.25">
      <c r="B8" s="11"/>
      <c r="C8" s="11" t="s">
        <v>36</v>
      </c>
    </row>
    <row r="9" spans="1:256" ht="15.75" customHeight="1" x14ac:dyDescent="0.25">
      <c r="A9" s="141" t="s">
        <v>89</v>
      </c>
      <c r="B9" s="141"/>
      <c r="C9" s="295"/>
      <c r="D9" s="295"/>
      <c r="E9" s="295"/>
      <c r="F9" s="158"/>
      <c r="G9" s="158"/>
    </row>
    <row r="10" spans="1:256" ht="15.75" x14ac:dyDescent="0.25">
      <c r="A10" s="13" t="s">
        <v>5</v>
      </c>
      <c r="B10" s="32" t="s">
        <v>14</v>
      </c>
      <c r="C10" s="71" t="s">
        <v>74</v>
      </c>
      <c r="D10" s="71" t="s">
        <v>74</v>
      </c>
      <c r="E10" s="71" t="s">
        <v>74</v>
      </c>
      <c r="F10" s="71" t="s">
        <v>136</v>
      </c>
      <c r="G10" s="296" t="s">
        <v>145</v>
      </c>
    </row>
    <row r="11" spans="1:256" ht="70.5" customHeight="1" x14ac:dyDescent="0.25">
      <c r="A11" s="14"/>
      <c r="B11" s="33" t="s">
        <v>108</v>
      </c>
      <c r="C11" s="15" t="s">
        <v>107</v>
      </c>
      <c r="D11" s="15" t="s">
        <v>124</v>
      </c>
      <c r="E11" s="15" t="s">
        <v>129</v>
      </c>
      <c r="F11" s="157">
        <v>43830</v>
      </c>
      <c r="G11" s="297"/>
    </row>
    <row r="12" spans="1:256" ht="15.75" x14ac:dyDescent="0.25">
      <c r="A12" s="16" t="s">
        <v>15</v>
      </c>
      <c r="B12" s="17">
        <v>212349000</v>
      </c>
      <c r="C12" s="17">
        <v>212349000</v>
      </c>
      <c r="D12" s="17">
        <v>202239000</v>
      </c>
      <c r="E12" s="17">
        <v>191514855</v>
      </c>
      <c r="F12" s="17">
        <v>180188403</v>
      </c>
      <c r="G12" s="164">
        <f>F12/E12</f>
        <v>0.94085862425658839</v>
      </c>
    </row>
    <row r="13" spans="1:256" ht="15.75" x14ac:dyDescent="0.25">
      <c r="A13" s="16" t="s">
        <v>16</v>
      </c>
      <c r="B13" s="17">
        <v>44677000</v>
      </c>
      <c r="C13" s="17">
        <v>44677000</v>
      </c>
      <c r="D13" s="17">
        <v>44745250</v>
      </c>
      <c r="E13" s="17">
        <v>44968525</v>
      </c>
      <c r="F13" s="17">
        <v>35290596</v>
      </c>
      <c r="G13" s="164">
        <f t="shared" ref="G13:G32" si="0">F13/E13</f>
        <v>0.78478437974116344</v>
      </c>
    </row>
    <row r="14" spans="1:256" ht="15.75" x14ac:dyDescent="0.25">
      <c r="A14" s="16" t="s">
        <v>17</v>
      </c>
      <c r="B14" s="17">
        <v>35970593</v>
      </c>
      <c r="C14" s="17">
        <v>35964923</v>
      </c>
      <c r="D14" s="17">
        <v>46029923</v>
      </c>
      <c r="E14" s="17">
        <v>46029923</v>
      </c>
      <c r="F14" s="17">
        <v>30189415</v>
      </c>
      <c r="G14" s="164">
        <f t="shared" si="0"/>
        <v>0.65586499025861933</v>
      </c>
    </row>
    <row r="15" spans="1:256" ht="15.75" x14ac:dyDescent="0.25">
      <c r="A15" s="16" t="s">
        <v>76</v>
      </c>
      <c r="B15" s="17">
        <v>450000</v>
      </c>
      <c r="C15" s="17">
        <v>450000</v>
      </c>
      <c r="D15" s="17">
        <v>450000</v>
      </c>
      <c r="E15" s="17">
        <v>450000</v>
      </c>
      <c r="F15" s="17">
        <v>363530</v>
      </c>
      <c r="G15" s="164">
        <f t="shared" si="0"/>
        <v>0.80784444444444448</v>
      </c>
    </row>
    <row r="16" spans="1:256" customFormat="1" ht="15.75" x14ac:dyDescent="0.25">
      <c r="A16" s="16" t="s">
        <v>77</v>
      </c>
      <c r="B16" s="17">
        <v>0</v>
      </c>
      <c r="C16" s="17">
        <v>0</v>
      </c>
      <c r="D16" s="17">
        <v>0</v>
      </c>
      <c r="E16" s="17">
        <v>0</v>
      </c>
      <c r="F16" s="17"/>
      <c r="G16" s="164"/>
      <c r="H16" s="37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7" ht="15.75" x14ac:dyDescent="0.25">
      <c r="A17" s="16" t="s">
        <v>19</v>
      </c>
      <c r="B17" s="17">
        <f>1065911+5713235</f>
        <v>6779146</v>
      </c>
      <c r="C17" s="17">
        <f>1071580+5713236</f>
        <v>6784816</v>
      </c>
      <c r="D17" s="17">
        <f>2976580+5713236</f>
        <v>8689816</v>
      </c>
      <c r="E17" s="17">
        <f>11607010+9523236</f>
        <v>21130246</v>
      </c>
      <c r="F17" s="17">
        <f>9282566+6801236</f>
        <v>16083802</v>
      </c>
      <c r="G17" s="164">
        <f t="shared" si="0"/>
        <v>0.76117438481312527</v>
      </c>
    </row>
    <row r="18" spans="1:7" ht="15.75" x14ac:dyDescent="0.25">
      <c r="A18" s="16" t="s">
        <v>90</v>
      </c>
      <c r="B18" s="17"/>
      <c r="C18" s="17">
        <v>186742</v>
      </c>
      <c r="D18" s="17">
        <v>186742</v>
      </c>
      <c r="E18" s="17">
        <v>186742</v>
      </c>
      <c r="F18" s="17">
        <v>186742</v>
      </c>
      <c r="G18" s="164">
        <f t="shared" si="0"/>
        <v>1</v>
      </c>
    </row>
    <row r="19" spans="1:7" ht="15.75" x14ac:dyDescent="0.25">
      <c r="A19" s="19" t="s">
        <v>21</v>
      </c>
      <c r="B19" s="20">
        <f>SUM(B12:B17)</f>
        <v>300225739</v>
      </c>
      <c r="C19" s="20">
        <f>SUM(C12:C18)</f>
        <v>300412481</v>
      </c>
      <c r="D19" s="20">
        <f>SUM(D12:D18)</f>
        <v>302340731</v>
      </c>
      <c r="E19" s="20">
        <f>SUM(E12:E18)</f>
        <v>304280291</v>
      </c>
      <c r="F19" s="20">
        <f>SUM(F12:F18)</f>
        <v>262302488</v>
      </c>
      <c r="G19" s="164">
        <f t="shared" si="0"/>
        <v>0.86204232005286208</v>
      </c>
    </row>
    <row r="20" spans="1:7" ht="15.75" x14ac:dyDescent="0.25">
      <c r="A20" s="25" t="s">
        <v>25</v>
      </c>
      <c r="B20" s="22">
        <f>B19</f>
        <v>300225739</v>
      </c>
      <c r="C20" s="22">
        <f>C19</f>
        <v>300412481</v>
      </c>
      <c r="D20" s="22">
        <f>D19</f>
        <v>302340731</v>
      </c>
      <c r="E20" s="22">
        <f>E19</f>
        <v>304280291</v>
      </c>
      <c r="F20" s="22">
        <f>F19</f>
        <v>262302488</v>
      </c>
      <c r="G20" s="164">
        <f t="shared" si="0"/>
        <v>0.86204232005286208</v>
      </c>
    </row>
    <row r="21" spans="1:7" ht="15.75" x14ac:dyDescent="0.25">
      <c r="A21" s="26"/>
      <c r="B21" s="24"/>
      <c r="C21" s="24"/>
      <c r="D21" s="24"/>
      <c r="E21" s="24"/>
      <c r="F21" s="24"/>
      <c r="G21" s="24"/>
    </row>
    <row r="22" spans="1:7" ht="15.75" x14ac:dyDescent="0.25">
      <c r="A22" s="16" t="s">
        <v>26</v>
      </c>
      <c r="B22" s="18">
        <v>2300000</v>
      </c>
      <c r="C22" s="72">
        <v>2300000</v>
      </c>
      <c r="D22" s="72">
        <v>2300000</v>
      </c>
      <c r="E22" s="72">
        <v>2300000</v>
      </c>
      <c r="F22" s="72">
        <v>3190244</v>
      </c>
      <c r="G22" s="164">
        <f t="shared" si="0"/>
        <v>1.3870626086956521</v>
      </c>
    </row>
    <row r="23" spans="1:7" ht="15.75" x14ac:dyDescent="0.25">
      <c r="A23" s="16" t="s">
        <v>130</v>
      </c>
      <c r="B23" s="18">
        <v>0</v>
      </c>
      <c r="C23" s="18">
        <v>0</v>
      </c>
      <c r="D23" s="18">
        <v>0</v>
      </c>
      <c r="E23" s="151">
        <v>640430</v>
      </c>
      <c r="F23" s="151">
        <v>640430</v>
      </c>
      <c r="G23" s="164">
        <f t="shared" si="0"/>
        <v>1</v>
      </c>
    </row>
    <row r="24" spans="1:7" ht="15.75" x14ac:dyDescent="0.25">
      <c r="A24" s="16" t="s">
        <v>28</v>
      </c>
      <c r="B24" s="17">
        <v>0</v>
      </c>
      <c r="C24" s="17">
        <v>0</v>
      </c>
      <c r="D24" s="17">
        <v>0</v>
      </c>
      <c r="E24" s="150">
        <v>0</v>
      </c>
      <c r="F24" s="150"/>
      <c r="G24" s="164"/>
    </row>
    <row r="25" spans="1:7" ht="15.75" x14ac:dyDescent="0.25">
      <c r="A25" s="16" t="s">
        <v>29</v>
      </c>
      <c r="B25" s="17">
        <v>0</v>
      </c>
      <c r="C25" s="17">
        <v>0</v>
      </c>
      <c r="D25" s="17">
        <v>0</v>
      </c>
      <c r="E25" s="17">
        <v>0</v>
      </c>
      <c r="F25" s="17"/>
      <c r="G25" s="164"/>
    </row>
    <row r="26" spans="1:7" ht="15.75" x14ac:dyDescent="0.25">
      <c r="A26" s="16" t="s">
        <v>30</v>
      </c>
      <c r="B26" s="17">
        <v>54078874</v>
      </c>
      <c r="C26" s="17">
        <v>31710876</v>
      </c>
      <c r="D26" s="17">
        <f>26207924+200000</f>
        <v>26407924</v>
      </c>
      <c r="E26" s="17">
        <v>16069758</v>
      </c>
      <c r="F26" s="17">
        <v>5214000</v>
      </c>
      <c r="G26" s="164">
        <f t="shared" si="0"/>
        <v>0.32446039324300963</v>
      </c>
    </row>
    <row r="27" spans="1:7" ht="15.75" x14ac:dyDescent="0.25">
      <c r="A27" s="16" t="s">
        <v>31</v>
      </c>
      <c r="B27" s="17">
        <v>0</v>
      </c>
      <c r="C27" s="17">
        <v>0</v>
      </c>
      <c r="D27" s="17">
        <v>0</v>
      </c>
      <c r="E27" s="17">
        <v>0</v>
      </c>
      <c r="F27" s="17"/>
      <c r="G27" s="164"/>
    </row>
    <row r="28" spans="1:7" ht="15.75" x14ac:dyDescent="0.25">
      <c r="A28" s="16" t="s">
        <v>48</v>
      </c>
      <c r="B28" s="17">
        <v>240946865</v>
      </c>
      <c r="C28" s="17">
        <v>263332121</v>
      </c>
      <c r="D28" s="17">
        <v>270563323</v>
      </c>
      <c r="E28" s="17">
        <v>282200619</v>
      </c>
      <c r="F28" s="17">
        <v>256224982</v>
      </c>
      <c r="G28" s="164">
        <f t="shared" si="0"/>
        <v>0.90795329545326053</v>
      </c>
    </row>
    <row r="29" spans="1:7" ht="15.75" x14ac:dyDescent="0.25">
      <c r="A29" s="16" t="s">
        <v>32</v>
      </c>
      <c r="B29" s="17">
        <v>0</v>
      </c>
      <c r="C29" s="17">
        <v>0</v>
      </c>
      <c r="D29" s="17">
        <v>0</v>
      </c>
      <c r="E29" s="17">
        <v>0</v>
      </c>
      <c r="F29" s="17"/>
      <c r="G29" s="164"/>
    </row>
    <row r="30" spans="1:7" ht="15.75" x14ac:dyDescent="0.25">
      <c r="A30" s="19" t="s">
        <v>33</v>
      </c>
      <c r="B30" s="20">
        <f>SUM(B29,B28,B26,B22)</f>
        <v>297325739</v>
      </c>
      <c r="C30" s="20">
        <f>SUM(C29,C28,C26,C22)</f>
        <v>297342997</v>
      </c>
      <c r="D30" s="20">
        <f>SUM(D29,D28,D26,D22)</f>
        <v>299271247</v>
      </c>
      <c r="E30" s="20">
        <f>SUM(E22:E29)</f>
        <v>301210807</v>
      </c>
      <c r="F30" s="20">
        <f>SUM(F22:F29)</f>
        <v>265269656</v>
      </c>
      <c r="G30" s="164">
        <f t="shared" si="0"/>
        <v>0.88067775071563081</v>
      </c>
    </row>
    <row r="31" spans="1:7" ht="15.75" x14ac:dyDescent="0.25">
      <c r="A31" s="16" t="s">
        <v>75</v>
      </c>
      <c r="B31" s="17">
        <v>2900000</v>
      </c>
      <c r="C31" s="17">
        <v>3069484</v>
      </c>
      <c r="D31" s="17">
        <v>3069484</v>
      </c>
      <c r="E31" s="17">
        <v>3069484</v>
      </c>
      <c r="F31" s="17">
        <v>3069484</v>
      </c>
      <c r="G31" s="164">
        <f t="shared" si="0"/>
        <v>1</v>
      </c>
    </row>
    <row r="32" spans="1:7" ht="15.75" x14ac:dyDescent="0.25">
      <c r="A32" s="27" t="s">
        <v>35</v>
      </c>
      <c r="B32" s="22">
        <f>SUM(B30+B31)</f>
        <v>300225739</v>
      </c>
      <c r="C32" s="22">
        <f>SUM(C30+C31)</f>
        <v>300412481</v>
      </c>
      <c r="D32" s="22">
        <f>SUM(D30+D31)</f>
        <v>302340731</v>
      </c>
      <c r="E32" s="22">
        <f>SUM(E30+E31)</f>
        <v>304280291</v>
      </c>
      <c r="F32" s="22">
        <f>SUM(F30+F31)</f>
        <v>268339140</v>
      </c>
      <c r="G32" s="164">
        <f t="shared" si="0"/>
        <v>0.88188143608683478</v>
      </c>
    </row>
    <row r="34" spans="1:257" x14ac:dyDescent="0.25">
      <c r="A34" s="120"/>
      <c r="B34" s="121"/>
      <c r="C34" s="122"/>
      <c r="D34" s="122"/>
      <c r="E34" s="100"/>
      <c r="F34" s="100"/>
      <c r="G34" s="100"/>
      <c r="H34" s="100"/>
      <c r="I34" s="122"/>
      <c r="J34" s="43"/>
    </row>
    <row r="35" spans="1:257" ht="30" x14ac:dyDescent="0.25">
      <c r="A35" s="79" t="s">
        <v>120</v>
      </c>
      <c r="B35" s="124" t="s">
        <v>146</v>
      </c>
      <c r="C35" s="125" t="s">
        <v>114</v>
      </c>
      <c r="D35" s="125" t="s">
        <v>125</v>
      </c>
      <c r="E35" s="125" t="s">
        <v>147</v>
      </c>
      <c r="F35" s="125" t="s">
        <v>148</v>
      </c>
      <c r="G35" s="165"/>
      <c r="H35" s="166"/>
      <c r="I35" s="99"/>
      <c r="J35" s="43"/>
      <c r="K35" s="43"/>
      <c r="L35" s="43"/>
    </row>
    <row r="36" spans="1:257" x14ac:dyDescent="0.25">
      <c r="A36" s="80" t="s">
        <v>149</v>
      </c>
      <c r="B36" s="301">
        <f>53040000+38940000</f>
        <v>91980000</v>
      </c>
      <c r="C36" s="301">
        <f>91980000+10603000</f>
        <v>102583000</v>
      </c>
      <c r="D36" s="298">
        <v>102583000</v>
      </c>
      <c r="E36" s="298">
        <f>F36</f>
        <v>97908000</v>
      </c>
      <c r="F36" s="298">
        <f>53040000+38940000+10603000-4675000</f>
        <v>97908000</v>
      </c>
      <c r="G36" s="167"/>
      <c r="H36" s="303"/>
      <c r="I36" s="99"/>
      <c r="J36" s="43"/>
      <c r="K36" s="43"/>
      <c r="L36" s="43"/>
    </row>
    <row r="37" spans="1:257" x14ac:dyDescent="0.25">
      <c r="A37" s="80" t="s">
        <v>150</v>
      </c>
      <c r="B37" s="302"/>
      <c r="C37" s="302"/>
      <c r="D37" s="299"/>
      <c r="E37" s="299"/>
      <c r="F37" s="299"/>
      <c r="G37" s="167"/>
      <c r="H37" s="303"/>
      <c r="I37" s="99"/>
      <c r="J37" s="43"/>
      <c r="K37" s="43"/>
      <c r="L37" s="43"/>
    </row>
    <row r="38" spans="1:257" customFormat="1" x14ac:dyDescent="0.25">
      <c r="A38" s="80" t="s">
        <v>88</v>
      </c>
      <c r="B38" s="103">
        <f>7063937+2560748</f>
        <v>9624685</v>
      </c>
      <c r="C38" s="103">
        <v>9624685</v>
      </c>
      <c r="D38" s="143">
        <v>9624685</v>
      </c>
      <c r="E38" s="149">
        <f>F38</f>
        <v>11297600</v>
      </c>
      <c r="F38" s="81">
        <f>SUM(96832000+44388000)/125*10</f>
        <v>11297600</v>
      </c>
      <c r="G38" s="168"/>
      <c r="H38" s="279"/>
      <c r="I38" s="275"/>
      <c r="J38" s="277"/>
      <c r="K38" s="277">
        <f>97908000+F38+F41</f>
        <v>186004015</v>
      </c>
      <c r="L38" s="277"/>
      <c r="M38" s="277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s="41" customFormat="1" ht="30" x14ac:dyDescent="0.25">
      <c r="A39" s="46" t="s">
        <v>91</v>
      </c>
      <c r="B39" s="81">
        <v>62183926</v>
      </c>
      <c r="C39" s="81">
        <f>75880564-8797000-1655125</f>
        <v>65428439</v>
      </c>
      <c r="D39" s="81">
        <v>65428439</v>
      </c>
      <c r="E39" s="81">
        <v>10972489</v>
      </c>
      <c r="F39" s="81">
        <f>19650397-' KESZI ktgvetési mérleg'!F48</f>
        <v>10972489</v>
      </c>
      <c r="G39" s="168"/>
      <c r="H39" s="279">
        <f>F39+' KESZI ktgvetési mérleg'!F48</f>
        <v>19650397</v>
      </c>
      <c r="I39" s="275">
        <f>E39+' KESZI ktgvetési mérleg'!E48</f>
        <v>19650397</v>
      </c>
      <c r="J39" s="277"/>
      <c r="K39" s="277"/>
      <c r="L39" s="277"/>
      <c r="M39" s="277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customFormat="1" x14ac:dyDescent="0.25">
      <c r="A40" s="82" t="s">
        <v>92</v>
      </c>
      <c r="B40" s="102">
        <v>39568839</v>
      </c>
      <c r="C40" s="102">
        <v>25872201</v>
      </c>
      <c r="D40" s="142">
        <v>25872201</v>
      </c>
      <c r="E40" s="148">
        <f>25872201+28329686-15386158+5830239-15386158+20106316-5830239-5032950+871999+71300+4675000</f>
        <v>44121236</v>
      </c>
      <c r="F40" s="81">
        <f>E40-19092799-680286+4769937-10972489</f>
        <v>18145599</v>
      </c>
      <c r="G40" s="168"/>
      <c r="H40" s="279">
        <f>F40+' KESZI ktgvetési mérleg'!F50</f>
        <v>94415858</v>
      </c>
      <c r="I40" s="275"/>
      <c r="J40" s="277"/>
      <c r="K40" s="277"/>
      <c r="L40" s="277"/>
      <c r="M40" s="277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s="89" customFormat="1" x14ac:dyDescent="0.25">
      <c r="A41" s="83" t="s">
        <v>112</v>
      </c>
      <c r="B41" s="81">
        <f>'[1]CSGYK 20190104'!$G$105</f>
        <v>37589415</v>
      </c>
      <c r="C41" s="81">
        <v>37589415</v>
      </c>
      <c r="D41" s="81">
        <v>37589415</v>
      </c>
      <c r="E41" s="81">
        <f>37589415+39209000</f>
        <v>76798415</v>
      </c>
      <c r="F41" s="81">
        <f>37589415+39209000</f>
        <v>76798415</v>
      </c>
      <c r="G41" s="168"/>
      <c r="H41" s="279">
        <f>E40+' KESZI ktgvetési mérleg'!E50</f>
        <v>120391495</v>
      </c>
      <c r="I41" s="275">
        <f>H41-H40</f>
        <v>25975637</v>
      </c>
      <c r="J41" s="277"/>
      <c r="K41" s="277"/>
      <c r="L41" s="277"/>
      <c r="M41" s="27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s="101" customFormat="1" x14ac:dyDescent="0.25">
      <c r="A42" s="83" t="s">
        <v>115</v>
      </c>
      <c r="B42" s="81"/>
      <c r="C42" s="81">
        <v>20704962</v>
      </c>
      <c r="D42" s="81">
        <f>C42+3251791+3134822</f>
        <v>27091575</v>
      </c>
      <c r="E42" s="81">
        <f>D42+3119536+3265826+3226521</f>
        <v>36703458</v>
      </c>
      <c r="F42" s="81">
        <f>E42</f>
        <v>36703458</v>
      </c>
      <c r="G42" s="168"/>
      <c r="H42" s="279">
        <f>' KESZI ktgvetési mérleg'!I55</f>
        <v>102307590</v>
      </c>
      <c r="I42" s="275">
        <f>H42-H40</f>
        <v>7891732</v>
      </c>
      <c r="J42" s="277"/>
      <c r="K42" s="277"/>
      <c r="L42" s="277"/>
      <c r="M42" s="277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s="101" customFormat="1" x14ac:dyDescent="0.25">
      <c r="A43" s="83" t="s">
        <v>98</v>
      </c>
      <c r="B43" s="81"/>
      <c r="C43" s="81">
        <v>1512161</v>
      </c>
      <c r="D43" s="81">
        <f>C43+194462+191877</f>
        <v>1898500</v>
      </c>
      <c r="E43" s="81">
        <f>D43+175427+175429+175427</f>
        <v>2424783</v>
      </c>
      <c r="F43" s="81">
        <f>E43</f>
        <v>2424783</v>
      </c>
      <c r="G43" s="168"/>
      <c r="H43" s="279">
        <f>H41-H42</f>
        <v>18083905</v>
      </c>
      <c r="I43" s="275"/>
      <c r="J43" s="277"/>
      <c r="K43" s="277"/>
      <c r="L43" s="277"/>
      <c r="M43" s="277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</row>
    <row r="44" spans="1:257" s="140" customFormat="1" x14ac:dyDescent="0.25">
      <c r="A44" s="83" t="s">
        <v>132</v>
      </c>
      <c r="B44" s="81"/>
      <c r="C44" s="81"/>
      <c r="D44" s="81">
        <f>390000+68250</f>
        <v>458250</v>
      </c>
      <c r="E44" s="81">
        <f>D44+(423335*3)+229125</f>
        <v>1957380</v>
      </c>
      <c r="F44" s="81">
        <f>E44</f>
        <v>1957380</v>
      </c>
      <c r="G44" s="168"/>
      <c r="H44" s="279"/>
      <c r="I44" s="275"/>
      <c r="J44" s="277"/>
      <c r="K44" s="277"/>
      <c r="L44" s="277"/>
      <c r="M44" s="277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</row>
    <row r="45" spans="1:257" s="101" customFormat="1" x14ac:dyDescent="0.25">
      <c r="A45" s="83" t="s">
        <v>118</v>
      </c>
      <c r="B45" s="81"/>
      <c r="C45" s="81">
        <v>186742</v>
      </c>
      <c r="D45" s="81">
        <v>186742</v>
      </c>
      <c r="E45" s="81">
        <v>186742</v>
      </c>
      <c r="F45" s="81">
        <f>E45</f>
        <v>186742</v>
      </c>
      <c r="G45" s="168"/>
      <c r="H45" s="279">
        <f>' KESZI ktgvetési mérleg'!I52</f>
        <v>103250889</v>
      </c>
      <c r="I45" s="275"/>
      <c r="J45" s="277"/>
      <c r="K45" s="277"/>
      <c r="L45" s="277"/>
      <c r="M45" s="27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</row>
    <row r="46" spans="1:257" s="101" customFormat="1" x14ac:dyDescent="0.25">
      <c r="A46" s="83" t="s">
        <v>99</v>
      </c>
      <c r="B46" s="81"/>
      <c r="C46" s="81">
        <v>-169484</v>
      </c>
      <c r="D46" s="81">
        <v>-169484</v>
      </c>
      <c r="E46" s="81">
        <v>-169484</v>
      </c>
      <c r="F46" s="81">
        <f>E46</f>
        <v>-169484</v>
      </c>
      <c r="G46" s="168"/>
      <c r="H46" s="280">
        <f>H41-H45</f>
        <v>17140606</v>
      </c>
      <c r="I46" s="275"/>
      <c r="J46" s="277"/>
      <c r="K46" s="277"/>
      <c r="L46" s="277"/>
      <c r="M46" s="277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</row>
    <row r="47" spans="1:257" s="89" customFormat="1" x14ac:dyDescent="0.25">
      <c r="A47" s="43" t="s">
        <v>49</v>
      </c>
      <c r="B47" s="84">
        <f>SUM(B36:B41)</f>
        <v>240946865</v>
      </c>
      <c r="C47" s="84">
        <f>SUM(C36:C46)</f>
        <v>263332121</v>
      </c>
      <c r="D47" s="84">
        <f>SUM(D36:D46)</f>
        <v>270563323</v>
      </c>
      <c r="E47" s="84">
        <f>SUM(E36:E46)</f>
        <v>282200619</v>
      </c>
      <c r="F47" s="84">
        <f>SUM(F36:F46)</f>
        <v>256224982</v>
      </c>
      <c r="G47" s="123"/>
      <c r="H47" s="281"/>
      <c r="I47" s="275"/>
      <c r="J47" s="277"/>
      <c r="K47" s="277"/>
      <c r="L47" s="277"/>
      <c r="M47" s="277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</row>
    <row r="48" spans="1:257" s="70" customFormat="1" ht="31.5" customHeight="1" x14ac:dyDescent="0.25">
      <c r="A48" s="300" t="s">
        <v>113</v>
      </c>
      <c r="B48" s="300"/>
      <c r="C48" s="300"/>
      <c r="D48" s="300"/>
      <c r="E48" s="171"/>
      <c r="F48" s="171"/>
      <c r="G48" s="43"/>
      <c r="H48" s="99"/>
      <c r="I48" s="43"/>
      <c r="J48" s="4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spans="1:257" s="70" customFormat="1" x14ac:dyDescent="0.25">
      <c r="A49" s="122"/>
      <c r="B49" s="123"/>
      <c r="C49" s="123"/>
      <c r="D49" s="123"/>
      <c r="E49" s="100"/>
      <c r="F49" s="100"/>
      <c r="G49" s="100"/>
      <c r="H49" s="100"/>
      <c r="I49" s="122"/>
      <c r="J49" s="4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1:257" customFormat="1" x14ac:dyDescent="0.25">
      <c r="A50" s="1"/>
      <c r="B50" s="1"/>
      <c r="C50" s="1"/>
      <c r="D50" s="1"/>
      <c r="E50" s="37"/>
      <c r="F50" s="37"/>
      <c r="G50" s="37"/>
      <c r="H50" s="3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customFormat="1" x14ac:dyDescent="0.25">
      <c r="A51" s="146" t="s">
        <v>143</v>
      </c>
      <c r="B51" s="1"/>
      <c r="C51" s="1"/>
      <c r="D51" s="1"/>
      <c r="E51" s="37"/>
      <c r="F51" s="37"/>
      <c r="G51" s="37"/>
      <c r="H51" s="37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3" spans="1:257" x14ac:dyDescent="0.25">
      <c r="C53" s="37"/>
    </row>
  </sheetData>
  <mergeCells count="14">
    <mergeCell ref="A48:D48"/>
    <mergeCell ref="B36:B37"/>
    <mergeCell ref="C36:C37"/>
    <mergeCell ref="H36:H37"/>
    <mergeCell ref="D36:D37"/>
    <mergeCell ref="G10:G11"/>
    <mergeCell ref="F36:F37"/>
    <mergeCell ref="C9:E9"/>
    <mergeCell ref="E36:E37"/>
    <mergeCell ref="B1:C1"/>
    <mergeCell ref="A3:C3"/>
    <mergeCell ref="A4:C4"/>
    <mergeCell ref="A5:C5"/>
    <mergeCell ref="A6:C6"/>
  </mergeCells>
  <phoneticPr fontId="13" type="noConversion"/>
  <pageMargins left="0.70866141732283472" right="0.70866141732283472" top="1.1417322834645669" bottom="1.1417322834645669" header="0.74803149606299213" footer="0.74803149606299213"/>
  <pageSetup paperSize="8" scale="94" orientation="portrait" r:id="rId1"/>
  <headerFooter alignWithMargins="0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>
    <pageSetUpPr fitToPage="1"/>
  </sheetPr>
  <dimension ref="A1:G38"/>
  <sheetViews>
    <sheetView topLeftCell="A7" workbookViewId="0">
      <selection activeCell="I22" sqref="I22:I34"/>
    </sheetView>
  </sheetViews>
  <sheetFormatPr defaultColWidth="8.75" defaultRowHeight="15" x14ac:dyDescent="0.25"/>
  <cols>
    <col min="1" max="1" width="59.125" style="1" customWidth="1"/>
    <col min="2" max="2" width="19" style="1" customWidth="1"/>
    <col min="3" max="3" width="15.125" style="1" hidden="1" customWidth="1"/>
    <col min="4" max="4" width="13.75" style="1" hidden="1" customWidth="1"/>
    <col min="5" max="7" width="14.25" style="1" customWidth="1"/>
    <col min="8" max="8" width="9.75" style="1" bestFit="1" customWidth="1"/>
    <col min="9" max="16384" width="8.75" style="1"/>
  </cols>
  <sheetData>
    <row r="1" spans="1:7" x14ac:dyDescent="0.25">
      <c r="B1" s="289" t="s">
        <v>631</v>
      </c>
      <c r="C1" s="289"/>
    </row>
    <row r="2" spans="1:7" x14ac:dyDescent="0.25">
      <c r="B2" s="2"/>
    </row>
    <row r="3" spans="1:7" x14ac:dyDescent="0.25">
      <c r="A3" s="289" t="s">
        <v>0</v>
      </c>
      <c r="B3" s="289"/>
      <c r="C3" s="289"/>
    </row>
    <row r="4" spans="1:7" x14ac:dyDescent="0.25">
      <c r="A4" s="289" t="s">
        <v>159</v>
      </c>
      <c r="B4" s="289"/>
      <c r="C4" s="289"/>
    </row>
    <row r="5" spans="1:7" ht="15.75" x14ac:dyDescent="0.25">
      <c r="A5" s="294" t="s">
        <v>11</v>
      </c>
      <c r="B5" s="294"/>
      <c r="C5" s="294"/>
    </row>
    <row r="6" spans="1:7" ht="15.75" x14ac:dyDescent="0.25">
      <c r="A6" s="294" t="s">
        <v>39</v>
      </c>
      <c r="B6" s="294"/>
      <c r="C6" s="294"/>
    </row>
    <row r="7" spans="1:7" x14ac:dyDescent="0.25">
      <c r="C7" s="69"/>
    </row>
    <row r="8" spans="1:7" ht="31.5" x14ac:dyDescent="0.25">
      <c r="B8" s="11"/>
      <c r="C8" s="34" t="s">
        <v>50</v>
      </c>
    </row>
    <row r="9" spans="1:7" ht="15.75" customHeight="1" x14ac:dyDescent="0.25">
      <c r="A9" s="141" t="s">
        <v>7</v>
      </c>
      <c r="B9" s="295"/>
      <c r="C9" s="295"/>
      <c r="D9" s="295"/>
      <c r="E9" s="295"/>
      <c r="F9" s="158"/>
      <c r="G9" s="158"/>
    </row>
    <row r="10" spans="1:7" ht="15.75" x14ac:dyDescent="0.25">
      <c r="A10" s="13" t="s">
        <v>5</v>
      </c>
      <c r="B10" s="32" t="s">
        <v>14</v>
      </c>
      <c r="C10" s="71" t="s">
        <v>74</v>
      </c>
      <c r="D10" s="71" t="s">
        <v>74</v>
      </c>
      <c r="E10" s="71" t="s">
        <v>74</v>
      </c>
      <c r="F10" s="32" t="s">
        <v>136</v>
      </c>
      <c r="G10" s="304" t="s">
        <v>145</v>
      </c>
    </row>
    <row r="11" spans="1:7" ht="33" customHeight="1" x14ac:dyDescent="0.25">
      <c r="A11" s="14"/>
      <c r="B11" s="33" t="s">
        <v>108</v>
      </c>
      <c r="C11" s="15" t="s">
        <v>107</v>
      </c>
      <c r="D11" s="15" t="s">
        <v>124</v>
      </c>
      <c r="E11" s="15" t="s">
        <v>129</v>
      </c>
      <c r="F11" s="173">
        <v>43830</v>
      </c>
      <c r="G11" s="305"/>
    </row>
    <row r="12" spans="1:7" ht="15.75" x14ac:dyDescent="0.25">
      <c r="A12" s="16" t="s">
        <v>15</v>
      </c>
      <c r="B12" s="42">
        <v>1481888</v>
      </c>
      <c r="C12" s="72">
        <v>1481888</v>
      </c>
      <c r="D12" s="72">
        <v>1481888</v>
      </c>
      <c r="E12" s="72">
        <v>1481888</v>
      </c>
      <c r="F12" s="36">
        <v>925636</v>
      </c>
      <c r="G12" s="163">
        <f>F12/E12</f>
        <v>0.62463290073203914</v>
      </c>
    </row>
    <row r="13" spans="1:7" ht="15.75" x14ac:dyDescent="0.25">
      <c r="A13" s="16" t="s">
        <v>16</v>
      </c>
      <c r="B13" s="42">
        <v>440190</v>
      </c>
      <c r="C13" s="72">
        <v>440190</v>
      </c>
      <c r="D13" s="72">
        <v>440190</v>
      </c>
      <c r="E13" s="72">
        <v>440190</v>
      </c>
      <c r="F13" s="36">
        <v>256628</v>
      </c>
      <c r="G13" s="163">
        <f t="shared" ref="G13:G34" si="0">F13/E13</f>
        <v>0.58299370726277289</v>
      </c>
    </row>
    <row r="14" spans="1:7" ht="15.75" x14ac:dyDescent="0.25">
      <c r="A14" s="16" t="s">
        <v>17</v>
      </c>
      <c r="B14" s="42">
        <v>4579378</v>
      </c>
      <c r="C14" s="72">
        <v>52422978</v>
      </c>
      <c r="D14" s="72">
        <v>54402825</v>
      </c>
      <c r="E14" s="72">
        <v>54426802</v>
      </c>
      <c r="F14" s="36">
        <v>53831751</v>
      </c>
      <c r="G14" s="163">
        <f t="shared" si="0"/>
        <v>0.98906694903735115</v>
      </c>
    </row>
    <row r="15" spans="1:7" ht="15.75" x14ac:dyDescent="0.25">
      <c r="A15" s="16" t="s">
        <v>18</v>
      </c>
      <c r="B15" s="42">
        <v>6340000</v>
      </c>
      <c r="C15" s="72">
        <f>11479821+2740000</f>
        <v>14219821</v>
      </c>
      <c r="D15" s="72">
        <f>11479821+2740000</f>
        <v>14219821</v>
      </c>
      <c r="E15" s="72">
        <f>11479821+2740000</f>
        <v>14219821</v>
      </c>
      <c r="F15" s="36">
        <f>11479821+850000</f>
        <v>12329821</v>
      </c>
      <c r="G15" s="163">
        <f t="shared" si="0"/>
        <v>0.86708693449798002</v>
      </c>
    </row>
    <row r="16" spans="1:7" ht="15.75" x14ac:dyDescent="0.25">
      <c r="A16" s="16" t="s">
        <v>78</v>
      </c>
      <c r="B16" s="42">
        <v>0</v>
      </c>
      <c r="C16" s="72">
        <v>0</v>
      </c>
      <c r="D16" s="72">
        <v>0</v>
      </c>
      <c r="E16" s="72">
        <v>0</v>
      </c>
      <c r="F16" s="36">
        <v>0</v>
      </c>
      <c r="G16" s="163"/>
    </row>
    <row r="17" spans="1:7" ht="15.75" x14ac:dyDescent="0.25">
      <c r="A17" s="16" t="s">
        <v>51</v>
      </c>
      <c r="B17" s="42">
        <v>653235698</v>
      </c>
      <c r="C17" s="72">
        <v>710262181</v>
      </c>
      <c r="D17" s="72">
        <v>733207286</v>
      </c>
      <c r="E17" s="72">
        <v>768056448</v>
      </c>
      <c r="F17" s="36">
        <v>742080811</v>
      </c>
      <c r="G17" s="163">
        <f t="shared" si="0"/>
        <v>0.96618004175651417</v>
      </c>
    </row>
    <row r="18" spans="1:7" ht="15.75" x14ac:dyDescent="0.25">
      <c r="A18" s="16" t="s">
        <v>19</v>
      </c>
      <c r="B18" s="42">
        <f>100159837+162044882</f>
        <v>262204719</v>
      </c>
      <c r="C18" s="72">
        <f>85282837+129378882</f>
        <v>214661719</v>
      </c>
      <c r="D18" s="72">
        <f>84115946+129378882</f>
        <v>213494828</v>
      </c>
      <c r="E18" s="72">
        <f>84115946+129378882</f>
        <v>213494828</v>
      </c>
      <c r="F18" s="36">
        <f>84115940+124455569</f>
        <v>208571509</v>
      </c>
      <c r="G18" s="163">
        <f t="shared" si="0"/>
        <v>0.97693939920642947</v>
      </c>
    </row>
    <row r="19" spans="1:7" ht="15.75" x14ac:dyDescent="0.25">
      <c r="A19" s="16" t="s">
        <v>20</v>
      </c>
      <c r="B19" s="18">
        <v>0</v>
      </c>
      <c r="C19" s="72">
        <v>0</v>
      </c>
      <c r="D19" s="72">
        <v>0</v>
      </c>
      <c r="E19" s="72">
        <v>0</v>
      </c>
      <c r="F19" s="36">
        <v>0</v>
      </c>
      <c r="G19" s="163"/>
    </row>
    <row r="20" spans="1:7" ht="15.75" x14ac:dyDescent="0.25">
      <c r="A20" s="19" t="s">
        <v>21</v>
      </c>
      <c r="B20" s="20">
        <f>SUM(B12:B19)</f>
        <v>928281873</v>
      </c>
      <c r="C20" s="73">
        <f>SUM(C12:C19)</f>
        <v>993488777</v>
      </c>
      <c r="D20" s="73">
        <f>SUM(D12:D19)</f>
        <v>1017246838</v>
      </c>
      <c r="E20" s="73">
        <f>SUM(E12:E19)</f>
        <v>1052119977</v>
      </c>
      <c r="F20" s="73">
        <f>SUM(F12:F19)</f>
        <v>1017996156</v>
      </c>
      <c r="G20" s="163">
        <f t="shared" si="0"/>
        <v>0.96756660671219252</v>
      </c>
    </row>
    <row r="21" spans="1:7" ht="15.75" x14ac:dyDescent="0.25">
      <c r="A21" s="16" t="s">
        <v>22</v>
      </c>
      <c r="B21" s="18">
        <v>28322857</v>
      </c>
      <c r="C21" s="72">
        <v>16978938</v>
      </c>
      <c r="D21" s="72">
        <v>14556704</v>
      </c>
      <c r="E21" s="72">
        <v>3599252</v>
      </c>
      <c r="F21" s="36">
        <v>0</v>
      </c>
      <c r="G21" s="163">
        <f t="shared" si="0"/>
        <v>0</v>
      </c>
    </row>
    <row r="22" spans="1:7" ht="15.75" x14ac:dyDescent="0.25">
      <c r="A22" s="25" t="s">
        <v>25</v>
      </c>
      <c r="B22" s="23">
        <f>SUM(B20+B21)</f>
        <v>956604730</v>
      </c>
      <c r="C22" s="74">
        <f>SUM(C20+C21)</f>
        <v>1010467715</v>
      </c>
      <c r="D22" s="74">
        <f>SUM(D20+D21)</f>
        <v>1031803542</v>
      </c>
      <c r="E22" s="74">
        <f>SUM(E20+E21)</f>
        <v>1055719229</v>
      </c>
      <c r="F22" s="74">
        <f>SUM(F20+F21)</f>
        <v>1017996156</v>
      </c>
      <c r="G22" s="163">
        <f t="shared" si="0"/>
        <v>0.96426789248147715</v>
      </c>
    </row>
    <row r="23" spans="1:7" ht="15.75" x14ac:dyDescent="0.25">
      <c r="A23" s="26"/>
      <c r="B23" s="24"/>
      <c r="C23" s="75"/>
      <c r="D23" s="75"/>
      <c r="E23" s="75"/>
      <c r="F23" s="36"/>
      <c r="G23" s="163"/>
    </row>
    <row r="24" spans="1:7" ht="15.75" x14ac:dyDescent="0.25">
      <c r="A24" s="16" t="s">
        <v>26</v>
      </c>
      <c r="B24" s="42">
        <v>0</v>
      </c>
      <c r="C24" s="72">
        <v>0</v>
      </c>
      <c r="D24" s="72">
        <v>452847</v>
      </c>
      <c r="E24" s="72">
        <v>476824</v>
      </c>
      <c r="F24" s="36">
        <v>9867951</v>
      </c>
      <c r="G24" s="163">
        <f t="shared" si="0"/>
        <v>20.695164253477174</v>
      </c>
    </row>
    <row r="25" spans="1:7" ht="15.75" x14ac:dyDescent="0.25">
      <c r="A25" s="16" t="s">
        <v>27</v>
      </c>
      <c r="B25" s="42">
        <v>0</v>
      </c>
      <c r="C25" s="72">
        <v>0</v>
      </c>
      <c r="D25" s="72">
        <v>0</v>
      </c>
      <c r="E25" s="72">
        <v>0</v>
      </c>
      <c r="F25" s="36">
        <v>0</v>
      </c>
      <c r="G25" s="163"/>
    </row>
    <row r="26" spans="1:7" ht="15.75" x14ac:dyDescent="0.25">
      <c r="A26" s="16" t="s">
        <v>28</v>
      </c>
      <c r="B26" s="42">
        <v>30795820</v>
      </c>
      <c r="C26" s="72">
        <v>30795820</v>
      </c>
      <c r="D26" s="72">
        <v>30795820</v>
      </c>
      <c r="E26" s="72">
        <v>30795820</v>
      </c>
      <c r="F26" s="36">
        <v>28229276</v>
      </c>
      <c r="G26" s="163">
        <f t="shared" si="0"/>
        <v>0.91665933883234807</v>
      </c>
    </row>
    <row r="27" spans="1:7" ht="15.75" x14ac:dyDescent="0.25">
      <c r="A27" s="16" t="s">
        <v>29</v>
      </c>
      <c r="B27" s="42">
        <v>0</v>
      </c>
      <c r="C27" s="72">
        <v>0</v>
      </c>
      <c r="D27" s="72">
        <v>0</v>
      </c>
      <c r="E27" s="72">
        <v>0</v>
      </c>
      <c r="F27" s="36"/>
      <c r="G27" s="163"/>
    </row>
    <row r="28" spans="1:7" ht="15.75" x14ac:dyDescent="0.25">
      <c r="A28" s="16" t="s">
        <v>30</v>
      </c>
      <c r="B28" s="42">
        <v>678739663</v>
      </c>
      <c r="C28" s="72">
        <v>732331062</v>
      </c>
      <c r="D28" s="72">
        <v>753214042</v>
      </c>
      <c r="E28" s="72">
        <v>777105752</v>
      </c>
      <c r="F28" s="36">
        <f>778491753+1434000</f>
        <v>779925753</v>
      </c>
      <c r="G28" s="163">
        <f t="shared" si="0"/>
        <v>1.0036288510189795</v>
      </c>
    </row>
    <row r="29" spans="1:7" ht="15.75" x14ac:dyDescent="0.25">
      <c r="A29" s="16" t="s">
        <v>31</v>
      </c>
      <c r="B29" s="42">
        <v>413936235</v>
      </c>
      <c r="C29" s="72">
        <v>420638487</v>
      </c>
      <c r="D29" s="72">
        <f>420638487+5032950</f>
        <v>425671437</v>
      </c>
      <c r="E29" s="72">
        <f>F29</f>
        <v>619749763</v>
      </c>
      <c r="F29" s="36">
        <f>' KESZI ktgvetési mérleg'!F40+' KESZI ktgvetési mérleg'!F41+' KESZI ktgvetési mérleg'!F42+' KESZI ktgvetési mérleg'!F43+' KESZI ktgvetési mérleg'!F44+' KESZI ktgvetési mérleg'!F45+' KESZI ktgvetési mérleg'!F46+' KESZI ktgvetési mérleg'!F47+' KESZI ktgvetési mérleg'!F51+' KESZI ktgvetési mérleg'!F52+' KESZI ktgvetési mérleg'!F53+' KESZI ktgvetési mérleg'!F58+' KESZI ktgvetési mérleg'!F59+102583000+'CSGYK ktgvetési mérleg'!F38+'CSGYK ktgvetési mérleg'!F41+'CSGYK ktgvetési mérleg'!F42+'CSGYK ktgvetési mérleg'!F43+' KESZI ktgvetési mérleg'!F49-4675000</f>
        <v>619749763</v>
      </c>
      <c r="G29" s="163">
        <f t="shared" si="0"/>
        <v>1</v>
      </c>
    </row>
    <row r="30" spans="1:7" ht="15.75" x14ac:dyDescent="0.25">
      <c r="A30" s="16" t="s">
        <v>48</v>
      </c>
      <c r="B30" s="42">
        <v>0</v>
      </c>
      <c r="C30" s="72">
        <v>0</v>
      </c>
      <c r="D30" s="72">
        <v>0</v>
      </c>
      <c r="E30" s="72">
        <v>0</v>
      </c>
      <c r="F30" s="36">
        <v>0</v>
      </c>
      <c r="G30" s="163"/>
    </row>
    <row r="31" spans="1:7" ht="15.75" x14ac:dyDescent="0.25">
      <c r="A31" s="16" t="s">
        <v>32</v>
      </c>
      <c r="B31" s="42">
        <v>0</v>
      </c>
      <c r="C31" s="72">
        <v>0</v>
      </c>
      <c r="D31" s="72">
        <v>0</v>
      </c>
      <c r="E31" s="72">
        <v>0</v>
      </c>
      <c r="F31" s="36">
        <v>0</v>
      </c>
      <c r="G31" s="163"/>
    </row>
    <row r="32" spans="1:7" ht="15.75" x14ac:dyDescent="0.25">
      <c r="A32" s="19" t="s">
        <v>33</v>
      </c>
      <c r="B32" s="20">
        <f>SUM(B24+B25+B26+B28+B30+B31)</f>
        <v>709535483</v>
      </c>
      <c r="C32" s="73">
        <f>SUM(C24+C25+C26+C28+C30+C31)</f>
        <v>763126882</v>
      </c>
      <c r="D32" s="73">
        <f>SUM(D24+D25+D26+D28+D30+D31)</f>
        <v>784462709</v>
      </c>
      <c r="E32" s="73">
        <f>SUM(E24+E25+E26+E28+E30+E31)</f>
        <v>808378396</v>
      </c>
      <c r="F32" s="73">
        <f>SUM(F24+F25+F26+F28+F30+F31)</f>
        <v>818022980</v>
      </c>
      <c r="G32" s="163">
        <f t="shared" si="0"/>
        <v>1.011930779011071</v>
      </c>
    </row>
    <row r="33" spans="1:7" ht="15.75" x14ac:dyDescent="0.25">
      <c r="A33" s="16" t="s">
        <v>75</v>
      </c>
      <c r="B33" s="17">
        <v>247069247</v>
      </c>
      <c r="C33" s="72">
        <v>247340833</v>
      </c>
      <c r="D33" s="72">
        <v>247340833</v>
      </c>
      <c r="E33" s="72">
        <v>247340833</v>
      </c>
      <c r="F33" s="36">
        <v>247340833</v>
      </c>
      <c r="G33" s="163">
        <f t="shared" si="0"/>
        <v>1</v>
      </c>
    </row>
    <row r="34" spans="1:7" ht="15.75" x14ac:dyDescent="0.25">
      <c r="A34" s="27" t="s">
        <v>35</v>
      </c>
      <c r="B34" s="22">
        <f>B32+B33</f>
        <v>956604730</v>
      </c>
      <c r="C34" s="74">
        <f>C32+C33</f>
        <v>1010467715</v>
      </c>
      <c r="D34" s="74">
        <f>D32+D33</f>
        <v>1031803542</v>
      </c>
      <c r="E34" s="74">
        <f>E32+E33</f>
        <v>1055719229</v>
      </c>
      <c r="F34" s="74">
        <f>F32+F33</f>
        <v>1065363813</v>
      </c>
      <c r="G34" s="163">
        <f t="shared" si="0"/>
        <v>1.0091355577648571</v>
      </c>
    </row>
    <row r="36" spans="1:7" x14ac:dyDescent="0.25">
      <c r="A36" s="146" t="s">
        <v>128</v>
      </c>
      <c r="F36" s="169"/>
    </row>
    <row r="37" spans="1:7" x14ac:dyDescent="0.25">
      <c r="A37"/>
    </row>
    <row r="38" spans="1:7" x14ac:dyDescent="0.25">
      <c r="A38"/>
    </row>
  </sheetData>
  <mergeCells count="7">
    <mergeCell ref="G10:G11"/>
    <mergeCell ref="B9:E9"/>
    <mergeCell ref="B1:C1"/>
    <mergeCell ref="A3:C3"/>
    <mergeCell ref="A4:C4"/>
    <mergeCell ref="A5:C5"/>
    <mergeCell ref="A6:C6"/>
  </mergeCells>
  <phoneticPr fontId="13" type="noConversion"/>
  <pageMargins left="0.70866141732283472" right="0.70866141732283472" top="1.1417322834645669" bottom="1.1417322834645669" header="0.74803149606299213" footer="0.74803149606299213"/>
  <pageSetup paperSize="8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/>
  <dimension ref="A1:AMJ47"/>
  <sheetViews>
    <sheetView view="pageBreakPreview" topLeftCell="A10" zoomScale="60" zoomScaleNormal="100" workbookViewId="0">
      <selection activeCell="A2" sqref="A2:H2"/>
    </sheetView>
  </sheetViews>
  <sheetFormatPr defaultColWidth="9" defaultRowHeight="15" x14ac:dyDescent="0.25"/>
  <cols>
    <col min="1" max="1" width="31.5" style="43" customWidth="1"/>
    <col min="2" max="2" width="15.75" style="43" customWidth="1"/>
    <col min="3" max="3" width="14.25" style="43" customWidth="1"/>
    <col min="4" max="4" width="25.25" style="43" customWidth="1"/>
    <col min="5" max="5" width="21.375" style="43" customWidth="1"/>
    <col min="6" max="6" width="17.5" style="43" customWidth="1"/>
    <col min="7" max="7" width="20.875" style="43" customWidth="1"/>
    <col min="8" max="8" width="16.25" style="43" customWidth="1"/>
    <col min="9" max="9" width="17.375" style="43" customWidth="1"/>
    <col min="10" max="1024" width="9.375" style="43" customWidth="1"/>
    <col min="1025" max="1025" width="9" style="41" customWidth="1"/>
    <col min="1026" max="16384" width="9" style="41"/>
  </cols>
  <sheetData>
    <row r="1" spans="1:1024" x14ac:dyDescent="0.25">
      <c r="B1" s="292"/>
      <c r="C1" s="292"/>
      <c r="F1" s="44"/>
      <c r="G1" s="44" t="s">
        <v>632</v>
      </c>
    </row>
    <row r="2" spans="1:1024" x14ac:dyDescent="0.25">
      <c r="A2" s="307" t="s">
        <v>0</v>
      </c>
      <c r="B2" s="307"/>
      <c r="C2" s="307"/>
      <c r="D2" s="307"/>
      <c r="E2" s="307"/>
      <c r="F2" s="307"/>
      <c r="G2" s="307"/>
      <c r="H2" s="307"/>
    </row>
    <row r="3" spans="1:1024" x14ac:dyDescent="0.25">
      <c r="A3" s="307" t="s">
        <v>161</v>
      </c>
      <c r="B3" s="307"/>
      <c r="C3" s="307"/>
      <c r="D3" s="307"/>
      <c r="E3" s="307"/>
      <c r="F3" s="307"/>
      <c r="G3" s="307"/>
      <c r="H3" s="307"/>
    </row>
    <row r="4" spans="1:1024" x14ac:dyDescent="0.25">
      <c r="A4" s="94"/>
      <c r="B4" s="94"/>
      <c r="C4" s="94"/>
      <c r="D4" s="94"/>
      <c r="E4" s="94"/>
      <c r="F4" s="94"/>
      <c r="G4" s="94"/>
      <c r="H4" s="94"/>
    </row>
    <row r="5" spans="1:1024" x14ac:dyDescent="0.25">
      <c r="A5" s="307" t="s">
        <v>79</v>
      </c>
      <c r="B5" s="307"/>
      <c r="C5" s="307"/>
      <c r="D5" s="307"/>
      <c r="E5" s="307"/>
      <c r="F5" s="307"/>
      <c r="G5" s="307"/>
      <c r="H5" s="307"/>
    </row>
    <row r="6" spans="1:1024" x14ac:dyDescent="0.25">
      <c r="A6" s="307" t="s">
        <v>122</v>
      </c>
      <c r="B6" s="307"/>
      <c r="C6" s="307"/>
      <c r="D6" s="307"/>
      <c r="E6" s="307"/>
      <c r="F6" s="307"/>
      <c r="G6" s="307"/>
      <c r="H6" s="307"/>
    </row>
    <row r="7" spans="1:1024" x14ac:dyDescent="0.25">
      <c r="A7" s="307" t="s">
        <v>100</v>
      </c>
      <c r="B7" s="307"/>
      <c r="C7" s="307"/>
      <c r="D7" s="307"/>
      <c r="E7" s="307"/>
      <c r="F7" s="307"/>
      <c r="G7" s="307"/>
      <c r="H7" s="307"/>
    </row>
    <row r="8" spans="1:1024" ht="15.75" x14ac:dyDescent="0.25">
      <c r="A8" s="45"/>
      <c r="B8" s="96"/>
      <c r="C8" s="96"/>
      <c r="D8" s="96"/>
      <c r="E8" s="96"/>
      <c r="F8" s="96"/>
      <c r="G8" s="96"/>
      <c r="H8" s="97"/>
      <c r="AMJ8" s="41"/>
    </row>
    <row r="9" spans="1:1024" s="93" customFormat="1" ht="15.75" x14ac:dyDescent="0.25">
      <c r="A9" s="45"/>
      <c r="B9" s="96"/>
      <c r="C9" s="96"/>
      <c r="D9" s="96"/>
      <c r="E9" s="96"/>
      <c r="F9" s="96"/>
      <c r="G9" s="96"/>
      <c r="H9" s="97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  <c r="IW9" s="43"/>
      <c r="IX9" s="43"/>
      <c r="IY9" s="43"/>
      <c r="IZ9" s="43"/>
      <c r="JA9" s="43"/>
      <c r="JB9" s="43"/>
      <c r="JC9" s="43"/>
      <c r="JD9" s="43"/>
      <c r="JE9" s="43"/>
      <c r="JF9" s="43"/>
      <c r="JG9" s="43"/>
      <c r="JH9" s="43"/>
      <c r="JI9" s="43"/>
      <c r="JJ9" s="43"/>
      <c r="JK9" s="43"/>
      <c r="JL9" s="43"/>
      <c r="JM9" s="43"/>
      <c r="JN9" s="43"/>
      <c r="JO9" s="43"/>
      <c r="JP9" s="43"/>
      <c r="JQ9" s="43"/>
      <c r="JR9" s="43"/>
      <c r="JS9" s="43"/>
      <c r="JT9" s="43"/>
      <c r="JU9" s="43"/>
      <c r="JV9" s="43"/>
      <c r="JW9" s="43"/>
      <c r="JX9" s="43"/>
      <c r="JY9" s="43"/>
      <c r="JZ9" s="43"/>
      <c r="KA9" s="43"/>
      <c r="KB9" s="43"/>
      <c r="KC9" s="43"/>
      <c r="KD9" s="43"/>
      <c r="KE9" s="43"/>
      <c r="KF9" s="43"/>
      <c r="KG9" s="43"/>
      <c r="KH9" s="43"/>
      <c r="KI9" s="43"/>
      <c r="KJ9" s="43"/>
      <c r="KK9" s="43"/>
      <c r="KL9" s="43"/>
      <c r="KM9" s="43"/>
      <c r="KN9" s="43"/>
      <c r="KO9" s="43"/>
      <c r="KP9" s="43"/>
      <c r="KQ9" s="43"/>
      <c r="KR9" s="43"/>
      <c r="KS9" s="43"/>
      <c r="KT9" s="43"/>
      <c r="KU9" s="43"/>
      <c r="KV9" s="43"/>
      <c r="KW9" s="43"/>
      <c r="KX9" s="43"/>
      <c r="KY9" s="43"/>
      <c r="KZ9" s="43"/>
      <c r="LA9" s="43"/>
      <c r="LB9" s="43"/>
      <c r="LC9" s="43"/>
      <c r="LD9" s="43"/>
      <c r="LE9" s="43"/>
      <c r="LF9" s="43"/>
      <c r="LG9" s="43"/>
      <c r="LH9" s="43"/>
      <c r="LI9" s="43"/>
      <c r="LJ9" s="43"/>
      <c r="LK9" s="43"/>
      <c r="LL9" s="43"/>
      <c r="LM9" s="43"/>
      <c r="LN9" s="43"/>
      <c r="LO9" s="43"/>
      <c r="LP9" s="43"/>
      <c r="LQ9" s="43"/>
      <c r="LR9" s="43"/>
      <c r="LS9" s="43"/>
      <c r="LT9" s="43"/>
      <c r="LU9" s="43"/>
      <c r="LV9" s="43"/>
      <c r="LW9" s="43"/>
      <c r="LX9" s="43"/>
      <c r="LY9" s="43"/>
      <c r="LZ9" s="43"/>
      <c r="MA9" s="43"/>
      <c r="MB9" s="43"/>
      <c r="MC9" s="43"/>
      <c r="MD9" s="43"/>
      <c r="ME9" s="43"/>
      <c r="MF9" s="43"/>
      <c r="MG9" s="43"/>
      <c r="MH9" s="43"/>
      <c r="MI9" s="43"/>
      <c r="MJ9" s="43"/>
      <c r="MK9" s="43"/>
      <c r="ML9" s="43"/>
      <c r="MM9" s="43"/>
      <c r="MN9" s="43"/>
      <c r="MO9" s="43"/>
      <c r="MP9" s="43"/>
      <c r="MQ9" s="43"/>
      <c r="MR9" s="43"/>
      <c r="MS9" s="43"/>
      <c r="MT9" s="43"/>
      <c r="MU9" s="43"/>
      <c r="MV9" s="43"/>
      <c r="MW9" s="43"/>
      <c r="MX9" s="43"/>
      <c r="MY9" s="43"/>
      <c r="MZ9" s="43"/>
      <c r="NA9" s="43"/>
      <c r="NB9" s="43"/>
      <c r="NC9" s="43"/>
      <c r="ND9" s="43"/>
      <c r="NE9" s="43"/>
      <c r="NF9" s="43"/>
      <c r="NG9" s="43"/>
      <c r="NH9" s="43"/>
      <c r="NI9" s="43"/>
      <c r="NJ9" s="43"/>
      <c r="NK9" s="43"/>
      <c r="NL9" s="43"/>
      <c r="NM9" s="43"/>
      <c r="NN9" s="43"/>
      <c r="NO9" s="43"/>
      <c r="NP9" s="43"/>
      <c r="NQ9" s="43"/>
      <c r="NR9" s="43"/>
      <c r="NS9" s="43"/>
      <c r="NT9" s="43"/>
      <c r="NU9" s="43"/>
      <c r="NV9" s="43"/>
      <c r="NW9" s="43"/>
      <c r="NX9" s="43"/>
      <c r="NY9" s="43"/>
      <c r="NZ9" s="43"/>
      <c r="OA9" s="43"/>
      <c r="OB9" s="43"/>
      <c r="OC9" s="43"/>
      <c r="OD9" s="43"/>
      <c r="OE9" s="43"/>
      <c r="OF9" s="43"/>
      <c r="OG9" s="43"/>
      <c r="OH9" s="43"/>
      <c r="OI9" s="43"/>
      <c r="OJ9" s="43"/>
      <c r="OK9" s="43"/>
      <c r="OL9" s="43"/>
      <c r="OM9" s="43"/>
      <c r="ON9" s="43"/>
      <c r="OO9" s="43"/>
      <c r="OP9" s="43"/>
      <c r="OQ9" s="43"/>
      <c r="OR9" s="43"/>
      <c r="OS9" s="43"/>
      <c r="OT9" s="43"/>
      <c r="OU9" s="43"/>
      <c r="OV9" s="43"/>
      <c r="OW9" s="43"/>
      <c r="OX9" s="43"/>
      <c r="OY9" s="43"/>
      <c r="OZ9" s="43"/>
      <c r="PA9" s="43"/>
      <c r="PB9" s="43"/>
      <c r="PC9" s="43"/>
      <c r="PD9" s="43"/>
      <c r="PE9" s="43"/>
      <c r="PF9" s="43"/>
      <c r="PG9" s="43"/>
      <c r="PH9" s="43"/>
      <c r="PI9" s="43"/>
      <c r="PJ9" s="43"/>
      <c r="PK9" s="43"/>
      <c r="PL9" s="43"/>
      <c r="PM9" s="43"/>
      <c r="PN9" s="43"/>
      <c r="PO9" s="43"/>
      <c r="PP9" s="43"/>
      <c r="PQ9" s="43"/>
      <c r="PR9" s="43"/>
      <c r="PS9" s="43"/>
      <c r="PT9" s="43"/>
      <c r="PU9" s="43"/>
      <c r="PV9" s="43"/>
      <c r="PW9" s="43"/>
      <c r="PX9" s="43"/>
      <c r="PY9" s="43"/>
      <c r="PZ9" s="43"/>
      <c r="QA9" s="43"/>
      <c r="QB9" s="43"/>
      <c r="QC9" s="43"/>
      <c r="QD9" s="43"/>
      <c r="QE9" s="43"/>
      <c r="QF9" s="43"/>
      <c r="QG9" s="43"/>
      <c r="QH9" s="43"/>
      <c r="QI9" s="43"/>
      <c r="QJ9" s="43"/>
      <c r="QK9" s="43"/>
      <c r="QL9" s="43"/>
      <c r="QM9" s="43"/>
      <c r="QN9" s="43"/>
      <c r="QO9" s="43"/>
      <c r="QP9" s="43"/>
      <c r="QQ9" s="43"/>
      <c r="QR9" s="43"/>
      <c r="QS9" s="43"/>
      <c r="QT9" s="43"/>
      <c r="QU9" s="43"/>
      <c r="QV9" s="43"/>
      <c r="QW9" s="43"/>
      <c r="QX9" s="43"/>
      <c r="QY9" s="43"/>
      <c r="QZ9" s="43"/>
      <c r="RA9" s="43"/>
      <c r="RB9" s="43"/>
      <c r="RC9" s="43"/>
      <c r="RD9" s="43"/>
      <c r="RE9" s="43"/>
      <c r="RF9" s="43"/>
      <c r="RG9" s="43"/>
      <c r="RH9" s="43"/>
      <c r="RI9" s="43"/>
      <c r="RJ9" s="43"/>
      <c r="RK9" s="43"/>
      <c r="RL9" s="43"/>
      <c r="RM9" s="43"/>
      <c r="RN9" s="43"/>
      <c r="RO9" s="43"/>
      <c r="RP9" s="43"/>
      <c r="RQ9" s="43"/>
      <c r="RR9" s="43"/>
      <c r="RS9" s="43"/>
      <c r="RT9" s="43"/>
      <c r="RU9" s="43"/>
      <c r="RV9" s="43"/>
      <c r="RW9" s="43"/>
      <c r="RX9" s="43"/>
      <c r="RY9" s="43"/>
      <c r="RZ9" s="43"/>
      <c r="SA9" s="43"/>
      <c r="SB9" s="43"/>
      <c r="SC9" s="43"/>
      <c r="SD9" s="43"/>
      <c r="SE9" s="43"/>
      <c r="SF9" s="43"/>
      <c r="SG9" s="43"/>
      <c r="SH9" s="43"/>
      <c r="SI9" s="43"/>
      <c r="SJ9" s="43"/>
      <c r="SK9" s="43"/>
      <c r="SL9" s="43"/>
      <c r="SM9" s="43"/>
      <c r="SN9" s="43"/>
      <c r="SO9" s="43"/>
      <c r="SP9" s="43"/>
      <c r="SQ9" s="43"/>
      <c r="SR9" s="43"/>
      <c r="SS9" s="43"/>
      <c r="ST9" s="43"/>
      <c r="SU9" s="43"/>
      <c r="SV9" s="43"/>
      <c r="SW9" s="43"/>
      <c r="SX9" s="43"/>
      <c r="SY9" s="43"/>
      <c r="SZ9" s="43"/>
      <c r="TA9" s="43"/>
      <c r="TB9" s="43"/>
      <c r="TC9" s="43"/>
      <c r="TD9" s="43"/>
      <c r="TE9" s="43"/>
      <c r="TF9" s="43"/>
      <c r="TG9" s="43"/>
      <c r="TH9" s="43"/>
      <c r="TI9" s="43"/>
      <c r="TJ9" s="43"/>
      <c r="TK9" s="43"/>
      <c r="TL9" s="43"/>
      <c r="TM9" s="43"/>
      <c r="TN9" s="43"/>
      <c r="TO9" s="43"/>
      <c r="TP9" s="43"/>
      <c r="TQ9" s="43"/>
      <c r="TR9" s="43"/>
      <c r="TS9" s="43"/>
      <c r="TT9" s="43"/>
      <c r="TU9" s="43"/>
      <c r="TV9" s="43"/>
      <c r="TW9" s="43"/>
      <c r="TX9" s="43"/>
      <c r="TY9" s="43"/>
      <c r="TZ9" s="43"/>
      <c r="UA9" s="43"/>
      <c r="UB9" s="43"/>
      <c r="UC9" s="43"/>
      <c r="UD9" s="43"/>
      <c r="UE9" s="43"/>
      <c r="UF9" s="43"/>
      <c r="UG9" s="43"/>
      <c r="UH9" s="43"/>
      <c r="UI9" s="43"/>
      <c r="UJ9" s="43"/>
      <c r="UK9" s="43"/>
      <c r="UL9" s="43"/>
      <c r="UM9" s="43"/>
      <c r="UN9" s="43"/>
      <c r="UO9" s="43"/>
      <c r="UP9" s="43"/>
      <c r="UQ9" s="43"/>
      <c r="UR9" s="43"/>
      <c r="US9" s="43"/>
      <c r="UT9" s="43"/>
      <c r="UU9" s="43"/>
      <c r="UV9" s="43"/>
      <c r="UW9" s="43"/>
      <c r="UX9" s="43"/>
      <c r="UY9" s="43"/>
      <c r="UZ9" s="43"/>
      <c r="VA9" s="43"/>
      <c r="VB9" s="43"/>
      <c r="VC9" s="43"/>
      <c r="VD9" s="43"/>
      <c r="VE9" s="43"/>
      <c r="VF9" s="43"/>
      <c r="VG9" s="43"/>
      <c r="VH9" s="43"/>
      <c r="VI9" s="43"/>
      <c r="VJ9" s="43"/>
      <c r="VK9" s="43"/>
      <c r="VL9" s="43"/>
      <c r="VM9" s="43"/>
      <c r="VN9" s="43"/>
      <c r="VO9" s="43"/>
      <c r="VP9" s="43"/>
      <c r="VQ9" s="43"/>
      <c r="VR9" s="43"/>
      <c r="VS9" s="43"/>
      <c r="VT9" s="43"/>
      <c r="VU9" s="43"/>
      <c r="VV9" s="43"/>
      <c r="VW9" s="43"/>
      <c r="VX9" s="43"/>
      <c r="VY9" s="43"/>
      <c r="VZ9" s="43"/>
      <c r="WA9" s="43"/>
      <c r="WB9" s="43"/>
      <c r="WC9" s="43"/>
      <c r="WD9" s="43"/>
      <c r="WE9" s="43"/>
      <c r="WF9" s="43"/>
      <c r="WG9" s="43"/>
      <c r="WH9" s="43"/>
      <c r="WI9" s="43"/>
      <c r="WJ9" s="43"/>
      <c r="WK9" s="43"/>
      <c r="WL9" s="43"/>
      <c r="WM9" s="43"/>
      <c r="WN9" s="43"/>
      <c r="WO9" s="43"/>
      <c r="WP9" s="43"/>
      <c r="WQ9" s="43"/>
      <c r="WR9" s="43"/>
      <c r="WS9" s="43"/>
      <c r="WT9" s="43"/>
      <c r="WU9" s="43"/>
      <c r="WV9" s="43"/>
      <c r="WW9" s="43"/>
      <c r="WX9" s="43"/>
      <c r="WY9" s="43"/>
      <c r="WZ9" s="43"/>
      <c r="XA9" s="43"/>
      <c r="XB9" s="43"/>
      <c r="XC9" s="43"/>
      <c r="XD9" s="43"/>
      <c r="XE9" s="43"/>
      <c r="XF9" s="43"/>
      <c r="XG9" s="43"/>
      <c r="XH9" s="43"/>
      <c r="XI9" s="43"/>
      <c r="XJ9" s="43"/>
      <c r="XK9" s="43"/>
      <c r="XL9" s="43"/>
      <c r="XM9" s="43"/>
      <c r="XN9" s="43"/>
      <c r="XO9" s="43"/>
      <c r="XP9" s="43"/>
      <c r="XQ9" s="43"/>
      <c r="XR9" s="43"/>
      <c r="XS9" s="43"/>
      <c r="XT9" s="43"/>
      <c r="XU9" s="43"/>
      <c r="XV9" s="43"/>
      <c r="XW9" s="43"/>
      <c r="XX9" s="43"/>
      <c r="XY9" s="43"/>
      <c r="XZ9" s="43"/>
      <c r="YA9" s="43"/>
      <c r="YB9" s="43"/>
      <c r="YC9" s="43"/>
      <c r="YD9" s="43"/>
      <c r="YE9" s="43"/>
      <c r="YF9" s="43"/>
      <c r="YG9" s="43"/>
      <c r="YH9" s="43"/>
      <c r="YI9" s="43"/>
      <c r="YJ9" s="43"/>
      <c r="YK9" s="43"/>
      <c r="YL9" s="43"/>
      <c r="YM9" s="43"/>
      <c r="YN9" s="43"/>
      <c r="YO9" s="43"/>
      <c r="YP9" s="43"/>
      <c r="YQ9" s="43"/>
      <c r="YR9" s="43"/>
      <c r="YS9" s="43"/>
      <c r="YT9" s="43"/>
      <c r="YU9" s="43"/>
      <c r="YV9" s="43"/>
      <c r="YW9" s="43"/>
      <c r="YX9" s="43"/>
      <c r="YY9" s="43"/>
      <c r="YZ9" s="43"/>
      <c r="ZA9" s="43"/>
      <c r="ZB9" s="43"/>
      <c r="ZC9" s="43"/>
      <c r="ZD9" s="43"/>
      <c r="ZE9" s="43"/>
      <c r="ZF9" s="43"/>
      <c r="ZG9" s="43"/>
      <c r="ZH9" s="43"/>
      <c r="ZI9" s="43"/>
      <c r="ZJ9" s="43"/>
      <c r="ZK9" s="43"/>
      <c r="ZL9" s="43"/>
      <c r="ZM9" s="43"/>
      <c r="ZN9" s="43"/>
      <c r="ZO9" s="43"/>
      <c r="ZP9" s="43"/>
      <c r="ZQ9" s="43"/>
      <c r="ZR9" s="43"/>
      <c r="ZS9" s="43"/>
      <c r="ZT9" s="43"/>
      <c r="ZU9" s="43"/>
      <c r="ZV9" s="43"/>
      <c r="ZW9" s="43"/>
      <c r="ZX9" s="43"/>
      <c r="ZY9" s="43"/>
      <c r="ZZ9" s="43"/>
      <c r="AAA9" s="43"/>
      <c r="AAB9" s="43"/>
      <c r="AAC9" s="43"/>
      <c r="AAD9" s="43"/>
      <c r="AAE9" s="43"/>
      <c r="AAF9" s="43"/>
      <c r="AAG9" s="43"/>
      <c r="AAH9" s="43"/>
      <c r="AAI9" s="43"/>
      <c r="AAJ9" s="43"/>
      <c r="AAK9" s="43"/>
      <c r="AAL9" s="43"/>
      <c r="AAM9" s="43"/>
      <c r="AAN9" s="43"/>
      <c r="AAO9" s="43"/>
      <c r="AAP9" s="43"/>
      <c r="AAQ9" s="43"/>
      <c r="AAR9" s="43"/>
      <c r="AAS9" s="43"/>
      <c r="AAT9" s="43"/>
      <c r="AAU9" s="43"/>
      <c r="AAV9" s="43"/>
      <c r="AAW9" s="43"/>
      <c r="AAX9" s="43"/>
      <c r="AAY9" s="43"/>
      <c r="AAZ9" s="43"/>
      <c r="ABA9" s="43"/>
      <c r="ABB9" s="43"/>
      <c r="ABC9" s="43"/>
      <c r="ABD9" s="43"/>
      <c r="ABE9" s="43"/>
      <c r="ABF9" s="43"/>
      <c r="ABG9" s="43"/>
      <c r="ABH9" s="43"/>
      <c r="ABI9" s="43"/>
      <c r="ABJ9" s="43"/>
      <c r="ABK9" s="43"/>
      <c r="ABL9" s="43"/>
      <c r="ABM9" s="43"/>
      <c r="ABN9" s="43"/>
      <c r="ABO9" s="43"/>
      <c r="ABP9" s="43"/>
      <c r="ABQ9" s="43"/>
      <c r="ABR9" s="43"/>
      <c r="ABS9" s="43"/>
      <c r="ABT9" s="43"/>
      <c r="ABU9" s="43"/>
      <c r="ABV9" s="43"/>
      <c r="ABW9" s="43"/>
      <c r="ABX9" s="43"/>
      <c r="ABY9" s="43"/>
      <c r="ABZ9" s="43"/>
      <c r="ACA9" s="43"/>
      <c r="ACB9" s="43"/>
      <c r="ACC9" s="43"/>
      <c r="ACD9" s="43"/>
      <c r="ACE9" s="43"/>
      <c r="ACF9" s="43"/>
      <c r="ACG9" s="43"/>
      <c r="ACH9" s="43"/>
      <c r="ACI9" s="43"/>
      <c r="ACJ9" s="43"/>
      <c r="ACK9" s="43"/>
      <c r="ACL9" s="43"/>
      <c r="ACM9" s="43"/>
      <c r="ACN9" s="43"/>
      <c r="ACO9" s="43"/>
      <c r="ACP9" s="43"/>
      <c r="ACQ9" s="43"/>
      <c r="ACR9" s="43"/>
      <c r="ACS9" s="43"/>
      <c r="ACT9" s="43"/>
      <c r="ACU9" s="43"/>
      <c r="ACV9" s="43"/>
      <c r="ACW9" s="43"/>
      <c r="ACX9" s="43"/>
      <c r="ACY9" s="43"/>
      <c r="ACZ9" s="43"/>
      <c r="ADA9" s="43"/>
      <c r="ADB9" s="43"/>
      <c r="ADC9" s="43"/>
      <c r="ADD9" s="43"/>
      <c r="ADE9" s="43"/>
      <c r="ADF9" s="43"/>
      <c r="ADG9" s="43"/>
      <c r="ADH9" s="43"/>
      <c r="ADI9" s="43"/>
      <c r="ADJ9" s="43"/>
      <c r="ADK9" s="43"/>
      <c r="ADL9" s="43"/>
      <c r="ADM9" s="43"/>
      <c r="ADN9" s="43"/>
      <c r="ADO9" s="43"/>
      <c r="ADP9" s="43"/>
      <c r="ADQ9" s="43"/>
      <c r="ADR9" s="43"/>
      <c r="ADS9" s="43"/>
      <c r="ADT9" s="43"/>
      <c r="ADU9" s="43"/>
      <c r="ADV9" s="43"/>
      <c r="ADW9" s="43"/>
      <c r="ADX9" s="43"/>
      <c r="ADY9" s="43"/>
      <c r="ADZ9" s="43"/>
      <c r="AEA9" s="43"/>
      <c r="AEB9" s="43"/>
      <c r="AEC9" s="43"/>
      <c r="AED9" s="43"/>
      <c r="AEE9" s="43"/>
      <c r="AEF9" s="43"/>
      <c r="AEG9" s="43"/>
      <c r="AEH9" s="43"/>
      <c r="AEI9" s="43"/>
      <c r="AEJ9" s="43"/>
      <c r="AEK9" s="43"/>
      <c r="AEL9" s="43"/>
      <c r="AEM9" s="43"/>
      <c r="AEN9" s="43"/>
      <c r="AEO9" s="43"/>
      <c r="AEP9" s="43"/>
      <c r="AEQ9" s="43"/>
      <c r="AER9" s="43"/>
      <c r="AES9" s="43"/>
      <c r="AET9" s="43"/>
      <c r="AEU9" s="43"/>
      <c r="AEV9" s="43"/>
      <c r="AEW9" s="43"/>
      <c r="AEX9" s="43"/>
      <c r="AEY9" s="43"/>
      <c r="AEZ9" s="43"/>
      <c r="AFA9" s="43"/>
      <c r="AFB9" s="43"/>
      <c r="AFC9" s="43"/>
      <c r="AFD9" s="43"/>
      <c r="AFE9" s="43"/>
      <c r="AFF9" s="43"/>
      <c r="AFG9" s="43"/>
      <c r="AFH9" s="43"/>
      <c r="AFI9" s="43"/>
      <c r="AFJ9" s="43"/>
      <c r="AFK9" s="43"/>
      <c r="AFL9" s="43"/>
      <c r="AFM9" s="43"/>
      <c r="AFN9" s="43"/>
      <c r="AFO9" s="43"/>
      <c r="AFP9" s="43"/>
      <c r="AFQ9" s="43"/>
      <c r="AFR9" s="43"/>
      <c r="AFS9" s="43"/>
      <c r="AFT9" s="43"/>
      <c r="AFU9" s="43"/>
      <c r="AFV9" s="43"/>
      <c r="AFW9" s="43"/>
      <c r="AFX9" s="43"/>
      <c r="AFY9" s="43"/>
      <c r="AFZ9" s="43"/>
      <c r="AGA9" s="43"/>
      <c r="AGB9" s="43"/>
      <c r="AGC9" s="43"/>
      <c r="AGD9" s="43"/>
      <c r="AGE9" s="43"/>
      <c r="AGF9" s="43"/>
      <c r="AGG9" s="43"/>
      <c r="AGH9" s="43"/>
      <c r="AGI9" s="43"/>
      <c r="AGJ9" s="43"/>
      <c r="AGK9" s="43"/>
      <c r="AGL9" s="43"/>
      <c r="AGM9" s="43"/>
      <c r="AGN9" s="43"/>
      <c r="AGO9" s="43"/>
      <c r="AGP9" s="43"/>
      <c r="AGQ9" s="43"/>
      <c r="AGR9" s="43"/>
      <c r="AGS9" s="43"/>
      <c r="AGT9" s="43"/>
      <c r="AGU9" s="43"/>
      <c r="AGV9" s="43"/>
      <c r="AGW9" s="43"/>
      <c r="AGX9" s="43"/>
      <c r="AGY9" s="43"/>
      <c r="AGZ9" s="43"/>
      <c r="AHA9" s="43"/>
      <c r="AHB9" s="43"/>
      <c r="AHC9" s="43"/>
      <c r="AHD9" s="43"/>
      <c r="AHE9" s="43"/>
      <c r="AHF9" s="43"/>
      <c r="AHG9" s="43"/>
      <c r="AHH9" s="43"/>
      <c r="AHI9" s="43"/>
      <c r="AHJ9" s="43"/>
      <c r="AHK9" s="43"/>
      <c r="AHL9" s="43"/>
      <c r="AHM9" s="43"/>
      <c r="AHN9" s="43"/>
      <c r="AHO9" s="43"/>
      <c r="AHP9" s="43"/>
      <c r="AHQ9" s="43"/>
      <c r="AHR9" s="43"/>
      <c r="AHS9" s="43"/>
      <c r="AHT9" s="43"/>
      <c r="AHU9" s="43"/>
      <c r="AHV9" s="43"/>
      <c r="AHW9" s="43"/>
      <c r="AHX9" s="43"/>
      <c r="AHY9" s="43"/>
      <c r="AHZ9" s="43"/>
      <c r="AIA9" s="43"/>
      <c r="AIB9" s="43"/>
      <c r="AIC9" s="43"/>
      <c r="AID9" s="43"/>
      <c r="AIE9" s="43"/>
      <c r="AIF9" s="43"/>
      <c r="AIG9" s="43"/>
      <c r="AIH9" s="43"/>
      <c r="AII9" s="43"/>
      <c r="AIJ9" s="43"/>
      <c r="AIK9" s="43"/>
      <c r="AIL9" s="43"/>
      <c r="AIM9" s="43"/>
      <c r="AIN9" s="43"/>
      <c r="AIO9" s="43"/>
      <c r="AIP9" s="43"/>
      <c r="AIQ9" s="43"/>
      <c r="AIR9" s="43"/>
      <c r="AIS9" s="43"/>
      <c r="AIT9" s="43"/>
      <c r="AIU9" s="43"/>
      <c r="AIV9" s="43"/>
      <c r="AIW9" s="43"/>
      <c r="AIX9" s="43"/>
      <c r="AIY9" s="43"/>
      <c r="AIZ9" s="43"/>
      <c r="AJA9" s="43"/>
      <c r="AJB9" s="43"/>
      <c r="AJC9" s="43"/>
      <c r="AJD9" s="43"/>
      <c r="AJE9" s="43"/>
      <c r="AJF9" s="43"/>
      <c r="AJG9" s="43"/>
      <c r="AJH9" s="43"/>
      <c r="AJI9" s="43"/>
      <c r="AJJ9" s="43"/>
      <c r="AJK9" s="43"/>
      <c r="AJL9" s="43"/>
      <c r="AJM9" s="43"/>
      <c r="AJN9" s="43"/>
      <c r="AJO9" s="43"/>
      <c r="AJP9" s="43"/>
      <c r="AJQ9" s="43"/>
      <c r="AJR9" s="43"/>
      <c r="AJS9" s="43"/>
      <c r="AJT9" s="43"/>
      <c r="AJU9" s="43"/>
      <c r="AJV9" s="43"/>
      <c r="AJW9" s="43"/>
      <c r="AJX9" s="43"/>
      <c r="AJY9" s="43"/>
      <c r="AJZ9" s="43"/>
      <c r="AKA9" s="43"/>
      <c r="AKB9" s="43"/>
      <c r="AKC9" s="43"/>
      <c r="AKD9" s="43"/>
      <c r="AKE9" s="43"/>
      <c r="AKF9" s="43"/>
      <c r="AKG9" s="43"/>
      <c r="AKH9" s="43"/>
      <c r="AKI9" s="43"/>
      <c r="AKJ9" s="43"/>
      <c r="AKK9" s="43"/>
      <c r="AKL9" s="43"/>
      <c r="AKM9" s="43"/>
      <c r="AKN9" s="43"/>
      <c r="AKO9" s="43"/>
      <c r="AKP9" s="43"/>
      <c r="AKQ9" s="43"/>
      <c r="AKR9" s="43"/>
      <c r="AKS9" s="43"/>
      <c r="AKT9" s="43"/>
      <c r="AKU9" s="43"/>
      <c r="AKV9" s="43"/>
      <c r="AKW9" s="43"/>
      <c r="AKX9" s="43"/>
      <c r="AKY9" s="43"/>
      <c r="AKZ9" s="43"/>
      <c r="ALA9" s="43"/>
      <c r="ALB9" s="43"/>
      <c r="ALC9" s="43"/>
      <c r="ALD9" s="43"/>
      <c r="ALE9" s="43"/>
      <c r="ALF9" s="43"/>
      <c r="ALG9" s="43"/>
      <c r="ALH9" s="43"/>
      <c r="ALI9" s="43"/>
      <c r="ALJ9" s="43"/>
      <c r="ALK9" s="43"/>
      <c r="ALL9" s="43"/>
      <c r="ALM9" s="43"/>
      <c r="ALN9" s="43"/>
      <c r="ALO9" s="43"/>
      <c r="ALP9" s="43"/>
      <c r="ALQ9" s="43"/>
      <c r="ALR9" s="43"/>
      <c r="ALS9" s="43"/>
      <c r="ALT9" s="43"/>
      <c r="ALU9" s="43"/>
      <c r="ALV9" s="43"/>
      <c r="ALW9" s="43"/>
      <c r="ALX9" s="43"/>
      <c r="ALY9" s="43"/>
      <c r="ALZ9" s="43"/>
      <c r="AMA9" s="43"/>
      <c r="AMB9" s="43"/>
      <c r="AMC9" s="43"/>
      <c r="AMD9" s="43"/>
      <c r="AME9" s="43"/>
      <c r="AMF9" s="43"/>
      <c r="AMG9" s="43"/>
      <c r="AMH9" s="43"/>
      <c r="AMI9" s="43"/>
    </row>
    <row r="10" spans="1:1024" s="93" customFormat="1" x14ac:dyDescent="0.25">
      <c r="A10" s="44" t="s">
        <v>160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  <c r="IW10" s="43"/>
      <c r="IX10" s="43"/>
      <c r="IY10" s="43"/>
      <c r="IZ10" s="43"/>
      <c r="JA10" s="43"/>
      <c r="JB10" s="43"/>
      <c r="JC10" s="43"/>
      <c r="JD10" s="43"/>
      <c r="JE10" s="43"/>
      <c r="JF10" s="43"/>
      <c r="JG10" s="43"/>
      <c r="JH10" s="43"/>
      <c r="JI10" s="43"/>
      <c r="JJ10" s="43"/>
      <c r="JK10" s="43"/>
      <c r="JL10" s="43"/>
      <c r="JM10" s="43"/>
      <c r="JN10" s="43"/>
      <c r="JO10" s="43"/>
      <c r="JP10" s="43"/>
      <c r="JQ10" s="43"/>
      <c r="JR10" s="43"/>
      <c r="JS10" s="43"/>
      <c r="JT10" s="43"/>
      <c r="JU10" s="43"/>
      <c r="JV10" s="43"/>
      <c r="JW10" s="43"/>
      <c r="JX10" s="43"/>
      <c r="JY10" s="43"/>
      <c r="JZ10" s="43"/>
      <c r="KA10" s="43"/>
      <c r="KB10" s="43"/>
      <c r="KC10" s="43"/>
      <c r="KD10" s="43"/>
      <c r="KE10" s="43"/>
      <c r="KF10" s="43"/>
      <c r="KG10" s="43"/>
      <c r="KH10" s="43"/>
      <c r="KI10" s="43"/>
      <c r="KJ10" s="43"/>
      <c r="KK10" s="43"/>
      <c r="KL10" s="43"/>
      <c r="KM10" s="43"/>
      <c r="KN10" s="43"/>
      <c r="KO10" s="43"/>
      <c r="KP10" s="43"/>
      <c r="KQ10" s="43"/>
      <c r="KR10" s="43"/>
      <c r="KS10" s="43"/>
      <c r="KT10" s="43"/>
      <c r="KU10" s="43"/>
      <c r="KV10" s="43"/>
      <c r="KW10" s="43"/>
      <c r="KX10" s="43"/>
      <c r="KY10" s="43"/>
      <c r="KZ10" s="43"/>
      <c r="LA10" s="43"/>
      <c r="LB10" s="43"/>
      <c r="LC10" s="43"/>
      <c r="LD10" s="43"/>
      <c r="LE10" s="43"/>
      <c r="LF10" s="43"/>
      <c r="LG10" s="43"/>
      <c r="LH10" s="43"/>
      <c r="LI10" s="43"/>
      <c r="LJ10" s="43"/>
      <c r="LK10" s="43"/>
      <c r="LL10" s="43"/>
      <c r="LM10" s="43"/>
      <c r="LN10" s="43"/>
      <c r="LO10" s="43"/>
      <c r="LP10" s="43"/>
      <c r="LQ10" s="43"/>
      <c r="LR10" s="43"/>
      <c r="LS10" s="43"/>
      <c r="LT10" s="43"/>
      <c r="LU10" s="43"/>
      <c r="LV10" s="43"/>
      <c r="LW10" s="43"/>
      <c r="LX10" s="43"/>
      <c r="LY10" s="43"/>
      <c r="LZ10" s="43"/>
      <c r="MA10" s="43"/>
      <c r="MB10" s="43"/>
      <c r="MC10" s="43"/>
      <c r="MD10" s="43"/>
      <c r="ME10" s="43"/>
      <c r="MF10" s="43"/>
      <c r="MG10" s="43"/>
      <c r="MH10" s="43"/>
      <c r="MI10" s="43"/>
      <c r="MJ10" s="43"/>
      <c r="MK10" s="43"/>
      <c r="ML10" s="43"/>
      <c r="MM10" s="43"/>
      <c r="MN10" s="43"/>
      <c r="MO10" s="43"/>
      <c r="MP10" s="43"/>
      <c r="MQ10" s="43"/>
      <c r="MR10" s="43"/>
      <c r="MS10" s="43"/>
      <c r="MT10" s="43"/>
      <c r="MU10" s="43"/>
      <c r="MV10" s="43"/>
      <c r="MW10" s="43"/>
      <c r="MX10" s="43"/>
      <c r="MY10" s="43"/>
      <c r="MZ10" s="43"/>
      <c r="NA10" s="43"/>
      <c r="NB10" s="43"/>
      <c r="NC10" s="43"/>
      <c r="ND10" s="43"/>
      <c r="NE10" s="43"/>
      <c r="NF10" s="43"/>
      <c r="NG10" s="43"/>
      <c r="NH10" s="43"/>
      <c r="NI10" s="43"/>
      <c r="NJ10" s="43"/>
      <c r="NK10" s="43"/>
      <c r="NL10" s="43"/>
      <c r="NM10" s="43"/>
      <c r="NN10" s="43"/>
      <c r="NO10" s="43"/>
      <c r="NP10" s="43"/>
      <c r="NQ10" s="43"/>
      <c r="NR10" s="43"/>
      <c r="NS10" s="43"/>
      <c r="NT10" s="43"/>
      <c r="NU10" s="43"/>
      <c r="NV10" s="43"/>
      <c r="NW10" s="43"/>
      <c r="NX10" s="43"/>
      <c r="NY10" s="43"/>
      <c r="NZ10" s="43"/>
      <c r="OA10" s="43"/>
      <c r="OB10" s="43"/>
      <c r="OC10" s="43"/>
      <c r="OD10" s="43"/>
      <c r="OE10" s="43"/>
      <c r="OF10" s="43"/>
      <c r="OG10" s="43"/>
      <c r="OH10" s="43"/>
      <c r="OI10" s="43"/>
      <c r="OJ10" s="43"/>
      <c r="OK10" s="43"/>
      <c r="OL10" s="43"/>
      <c r="OM10" s="43"/>
      <c r="ON10" s="43"/>
      <c r="OO10" s="43"/>
      <c r="OP10" s="43"/>
      <c r="OQ10" s="43"/>
      <c r="OR10" s="43"/>
      <c r="OS10" s="43"/>
      <c r="OT10" s="43"/>
      <c r="OU10" s="43"/>
      <c r="OV10" s="43"/>
      <c r="OW10" s="43"/>
      <c r="OX10" s="43"/>
      <c r="OY10" s="43"/>
      <c r="OZ10" s="43"/>
      <c r="PA10" s="43"/>
      <c r="PB10" s="43"/>
      <c r="PC10" s="43"/>
      <c r="PD10" s="43"/>
      <c r="PE10" s="43"/>
      <c r="PF10" s="43"/>
      <c r="PG10" s="43"/>
      <c r="PH10" s="43"/>
      <c r="PI10" s="43"/>
      <c r="PJ10" s="43"/>
      <c r="PK10" s="43"/>
      <c r="PL10" s="43"/>
      <c r="PM10" s="43"/>
      <c r="PN10" s="43"/>
      <c r="PO10" s="43"/>
      <c r="PP10" s="43"/>
      <c r="PQ10" s="43"/>
      <c r="PR10" s="43"/>
      <c r="PS10" s="43"/>
      <c r="PT10" s="43"/>
      <c r="PU10" s="43"/>
      <c r="PV10" s="43"/>
      <c r="PW10" s="43"/>
      <c r="PX10" s="43"/>
      <c r="PY10" s="43"/>
      <c r="PZ10" s="43"/>
      <c r="QA10" s="43"/>
      <c r="QB10" s="43"/>
      <c r="QC10" s="43"/>
      <c r="QD10" s="43"/>
      <c r="QE10" s="43"/>
      <c r="QF10" s="43"/>
      <c r="QG10" s="43"/>
      <c r="QH10" s="43"/>
      <c r="QI10" s="43"/>
      <c r="QJ10" s="43"/>
      <c r="QK10" s="43"/>
      <c r="QL10" s="43"/>
      <c r="QM10" s="43"/>
      <c r="QN10" s="43"/>
      <c r="QO10" s="43"/>
      <c r="QP10" s="43"/>
      <c r="QQ10" s="43"/>
      <c r="QR10" s="43"/>
      <c r="QS10" s="43"/>
      <c r="QT10" s="43"/>
      <c r="QU10" s="43"/>
      <c r="QV10" s="43"/>
      <c r="QW10" s="43"/>
      <c r="QX10" s="43"/>
      <c r="QY10" s="43"/>
      <c r="QZ10" s="43"/>
      <c r="RA10" s="43"/>
      <c r="RB10" s="43"/>
      <c r="RC10" s="43"/>
      <c r="RD10" s="43"/>
      <c r="RE10" s="43"/>
      <c r="RF10" s="43"/>
      <c r="RG10" s="43"/>
      <c r="RH10" s="43"/>
      <c r="RI10" s="43"/>
      <c r="RJ10" s="43"/>
      <c r="RK10" s="43"/>
      <c r="RL10" s="43"/>
      <c r="RM10" s="43"/>
      <c r="RN10" s="43"/>
      <c r="RO10" s="43"/>
      <c r="RP10" s="43"/>
      <c r="RQ10" s="43"/>
      <c r="RR10" s="43"/>
      <c r="RS10" s="43"/>
      <c r="RT10" s="43"/>
      <c r="RU10" s="43"/>
      <c r="RV10" s="43"/>
      <c r="RW10" s="43"/>
      <c r="RX10" s="43"/>
      <c r="RY10" s="43"/>
      <c r="RZ10" s="43"/>
      <c r="SA10" s="43"/>
      <c r="SB10" s="43"/>
      <c r="SC10" s="43"/>
      <c r="SD10" s="43"/>
      <c r="SE10" s="43"/>
      <c r="SF10" s="43"/>
      <c r="SG10" s="43"/>
      <c r="SH10" s="43"/>
      <c r="SI10" s="43"/>
      <c r="SJ10" s="43"/>
      <c r="SK10" s="43"/>
      <c r="SL10" s="43"/>
      <c r="SM10" s="43"/>
      <c r="SN10" s="43"/>
      <c r="SO10" s="43"/>
      <c r="SP10" s="43"/>
      <c r="SQ10" s="43"/>
      <c r="SR10" s="43"/>
      <c r="SS10" s="43"/>
      <c r="ST10" s="43"/>
      <c r="SU10" s="43"/>
      <c r="SV10" s="43"/>
      <c r="SW10" s="43"/>
      <c r="SX10" s="43"/>
      <c r="SY10" s="43"/>
      <c r="SZ10" s="43"/>
      <c r="TA10" s="43"/>
      <c r="TB10" s="43"/>
      <c r="TC10" s="43"/>
      <c r="TD10" s="43"/>
      <c r="TE10" s="43"/>
      <c r="TF10" s="43"/>
      <c r="TG10" s="43"/>
      <c r="TH10" s="43"/>
      <c r="TI10" s="43"/>
      <c r="TJ10" s="43"/>
      <c r="TK10" s="43"/>
      <c r="TL10" s="43"/>
      <c r="TM10" s="43"/>
      <c r="TN10" s="43"/>
      <c r="TO10" s="43"/>
      <c r="TP10" s="43"/>
      <c r="TQ10" s="43"/>
      <c r="TR10" s="43"/>
      <c r="TS10" s="43"/>
      <c r="TT10" s="43"/>
      <c r="TU10" s="43"/>
      <c r="TV10" s="43"/>
      <c r="TW10" s="43"/>
      <c r="TX10" s="43"/>
      <c r="TY10" s="43"/>
      <c r="TZ10" s="43"/>
      <c r="UA10" s="43"/>
      <c r="UB10" s="43"/>
      <c r="UC10" s="43"/>
      <c r="UD10" s="43"/>
      <c r="UE10" s="43"/>
      <c r="UF10" s="43"/>
      <c r="UG10" s="43"/>
      <c r="UH10" s="43"/>
      <c r="UI10" s="43"/>
      <c r="UJ10" s="43"/>
      <c r="UK10" s="43"/>
      <c r="UL10" s="43"/>
      <c r="UM10" s="43"/>
      <c r="UN10" s="43"/>
      <c r="UO10" s="43"/>
      <c r="UP10" s="43"/>
      <c r="UQ10" s="43"/>
      <c r="UR10" s="43"/>
      <c r="US10" s="43"/>
      <c r="UT10" s="43"/>
      <c r="UU10" s="43"/>
      <c r="UV10" s="43"/>
      <c r="UW10" s="43"/>
      <c r="UX10" s="43"/>
      <c r="UY10" s="43"/>
      <c r="UZ10" s="43"/>
      <c r="VA10" s="43"/>
      <c r="VB10" s="43"/>
      <c r="VC10" s="43"/>
      <c r="VD10" s="43"/>
      <c r="VE10" s="43"/>
      <c r="VF10" s="43"/>
      <c r="VG10" s="43"/>
      <c r="VH10" s="43"/>
      <c r="VI10" s="43"/>
      <c r="VJ10" s="43"/>
      <c r="VK10" s="43"/>
      <c r="VL10" s="43"/>
      <c r="VM10" s="43"/>
      <c r="VN10" s="43"/>
      <c r="VO10" s="43"/>
      <c r="VP10" s="43"/>
      <c r="VQ10" s="43"/>
      <c r="VR10" s="43"/>
      <c r="VS10" s="43"/>
      <c r="VT10" s="43"/>
      <c r="VU10" s="43"/>
      <c r="VV10" s="43"/>
      <c r="VW10" s="43"/>
      <c r="VX10" s="43"/>
      <c r="VY10" s="43"/>
      <c r="VZ10" s="43"/>
      <c r="WA10" s="43"/>
      <c r="WB10" s="43"/>
      <c r="WC10" s="43"/>
      <c r="WD10" s="43"/>
      <c r="WE10" s="43"/>
      <c r="WF10" s="43"/>
      <c r="WG10" s="43"/>
      <c r="WH10" s="43"/>
      <c r="WI10" s="43"/>
      <c r="WJ10" s="43"/>
      <c r="WK10" s="43"/>
      <c r="WL10" s="43"/>
      <c r="WM10" s="43"/>
      <c r="WN10" s="43"/>
      <c r="WO10" s="43"/>
      <c r="WP10" s="43"/>
      <c r="WQ10" s="43"/>
      <c r="WR10" s="43"/>
      <c r="WS10" s="43"/>
      <c r="WT10" s="43"/>
      <c r="WU10" s="43"/>
      <c r="WV10" s="43"/>
      <c r="WW10" s="43"/>
      <c r="WX10" s="43"/>
      <c r="WY10" s="43"/>
      <c r="WZ10" s="43"/>
      <c r="XA10" s="43"/>
      <c r="XB10" s="43"/>
      <c r="XC10" s="43"/>
      <c r="XD10" s="43"/>
      <c r="XE10" s="43"/>
      <c r="XF10" s="43"/>
      <c r="XG10" s="43"/>
      <c r="XH10" s="43"/>
      <c r="XI10" s="43"/>
      <c r="XJ10" s="43"/>
      <c r="XK10" s="43"/>
      <c r="XL10" s="43"/>
      <c r="XM10" s="43"/>
      <c r="XN10" s="43"/>
      <c r="XO10" s="43"/>
      <c r="XP10" s="43"/>
      <c r="XQ10" s="43"/>
      <c r="XR10" s="43"/>
      <c r="XS10" s="43"/>
      <c r="XT10" s="43"/>
      <c r="XU10" s="43"/>
      <c r="XV10" s="43"/>
      <c r="XW10" s="43"/>
      <c r="XX10" s="43"/>
      <c r="XY10" s="43"/>
      <c r="XZ10" s="43"/>
      <c r="YA10" s="43"/>
      <c r="YB10" s="43"/>
      <c r="YC10" s="43"/>
      <c r="YD10" s="43"/>
      <c r="YE10" s="43"/>
      <c r="YF10" s="43"/>
      <c r="YG10" s="43"/>
      <c r="YH10" s="43"/>
      <c r="YI10" s="43"/>
      <c r="YJ10" s="43"/>
      <c r="YK10" s="43"/>
      <c r="YL10" s="43"/>
      <c r="YM10" s="43"/>
      <c r="YN10" s="43"/>
      <c r="YO10" s="43"/>
      <c r="YP10" s="43"/>
      <c r="YQ10" s="43"/>
      <c r="YR10" s="43"/>
      <c r="YS10" s="43"/>
      <c r="YT10" s="43"/>
      <c r="YU10" s="43"/>
      <c r="YV10" s="43"/>
      <c r="YW10" s="43"/>
      <c r="YX10" s="43"/>
      <c r="YY10" s="43"/>
      <c r="YZ10" s="43"/>
      <c r="ZA10" s="43"/>
      <c r="ZB10" s="43"/>
      <c r="ZC10" s="43"/>
      <c r="ZD10" s="43"/>
      <c r="ZE10" s="43"/>
      <c r="ZF10" s="43"/>
      <c r="ZG10" s="43"/>
      <c r="ZH10" s="43"/>
      <c r="ZI10" s="43"/>
      <c r="ZJ10" s="43"/>
      <c r="ZK10" s="43"/>
      <c r="ZL10" s="43"/>
      <c r="ZM10" s="43"/>
      <c r="ZN10" s="43"/>
      <c r="ZO10" s="43"/>
      <c r="ZP10" s="43"/>
      <c r="ZQ10" s="43"/>
      <c r="ZR10" s="43"/>
      <c r="ZS10" s="43"/>
      <c r="ZT10" s="43"/>
      <c r="ZU10" s="43"/>
      <c r="ZV10" s="43"/>
      <c r="ZW10" s="43"/>
      <c r="ZX10" s="43"/>
      <c r="ZY10" s="43"/>
      <c r="ZZ10" s="43"/>
      <c r="AAA10" s="43"/>
      <c r="AAB10" s="43"/>
      <c r="AAC10" s="43"/>
      <c r="AAD10" s="43"/>
      <c r="AAE10" s="43"/>
      <c r="AAF10" s="43"/>
      <c r="AAG10" s="43"/>
      <c r="AAH10" s="43"/>
      <c r="AAI10" s="43"/>
      <c r="AAJ10" s="43"/>
      <c r="AAK10" s="43"/>
      <c r="AAL10" s="43"/>
      <c r="AAM10" s="43"/>
      <c r="AAN10" s="43"/>
      <c r="AAO10" s="43"/>
      <c r="AAP10" s="43"/>
      <c r="AAQ10" s="43"/>
      <c r="AAR10" s="43"/>
      <c r="AAS10" s="43"/>
      <c r="AAT10" s="43"/>
      <c r="AAU10" s="43"/>
      <c r="AAV10" s="43"/>
      <c r="AAW10" s="43"/>
      <c r="AAX10" s="43"/>
      <c r="AAY10" s="43"/>
      <c r="AAZ10" s="43"/>
      <c r="ABA10" s="43"/>
      <c r="ABB10" s="43"/>
      <c r="ABC10" s="43"/>
      <c r="ABD10" s="43"/>
      <c r="ABE10" s="43"/>
      <c r="ABF10" s="43"/>
      <c r="ABG10" s="43"/>
      <c r="ABH10" s="43"/>
      <c r="ABI10" s="43"/>
      <c r="ABJ10" s="43"/>
      <c r="ABK10" s="43"/>
      <c r="ABL10" s="43"/>
      <c r="ABM10" s="43"/>
      <c r="ABN10" s="43"/>
      <c r="ABO10" s="43"/>
      <c r="ABP10" s="43"/>
      <c r="ABQ10" s="43"/>
      <c r="ABR10" s="43"/>
      <c r="ABS10" s="43"/>
      <c r="ABT10" s="43"/>
      <c r="ABU10" s="43"/>
      <c r="ABV10" s="43"/>
      <c r="ABW10" s="43"/>
      <c r="ABX10" s="43"/>
      <c r="ABY10" s="43"/>
      <c r="ABZ10" s="43"/>
      <c r="ACA10" s="43"/>
      <c r="ACB10" s="43"/>
      <c r="ACC10" s="43"/>
      <c r="ACD10" s="43"/>
      <c r="ACE10" s="43"/>
      <c r="ACF10" s="43"/>
      <c r="ACG10" s="43"/>
      <c r="ACH10" s="43"/>
      <c r="ACI10" s="43"/>
      <c r="ACJ10" s="43"/>
      <c r="ACK10" s="43"/>
      <c r="ACL10" s="43"/>
      <c r="ACM10" s="43"/>
      <c r="ACN10" s="43"/>
      <c r="ACO10" s="43"/>
      <c r="ACP10" s="43"/>
      <c r="ACQ10" s="43"/>
      <c r="ACR10" s="43"/>
      <c r="ACS10" s="43"/>
      <c r="ACT10" s="43"/>
      <c r="ACU10" s="43"/>
      <c r="ACV10" s="43"/>
      <c r="ACW10" s="43"/>
      <c r="ACX10" s="43"/>
      <c r="ACY10" s="43"/>
      <c r="ACZ10" s="43"/>
      <c r="ADA10" s="43"/>
      <c r="ADB10" s="43"/>
      <c r="ADC10" s="43"/>
      <c r="ADD10" s="43"/>
      <c r="ADE10" s="43"/>
      <c r="ADF10" s="43"/>
      <c r="ADG10" s="43"/>
      <c r="ADH10" s="43"/>
      <c r="ADI10" s="43"/>
      <c r="ADJ10" s="43"/>
      <c r="ADK10" s="43"/>
      <c r="ADL10" s="43"/>
      <c r="ADM10" s="43"/>
      <c r="ADN10" s="43"/>
      <c r="ADO10" s="43"/>
      <c r="ADP10" s="43"/>
      <c r="ADQ10" s="43"/>
      <c r="ADR10" s="43"/>
      <c r="ADS10" s="43"/>
      <c r="ADT10" s="43"/>
      <c r="ADU10" s="43"/>
      <c r="ADV10" s="43"/>
      <c r="ADW10" s="43"/>
      <c r="ADX10" s="43"/>
      <c r="ADY10" s="43"/>
      <c r="ADZ10" s="43"/>
      <c r="AEA10" s="43"/>
      <c r="AEB10" s="43"/>
      <c r="AEC10" s="43"/>
      <c r="AED10" s="43"/>
      <c r="AEE10" s="43"/>
      <c r="AEF10" s="43"/>
      <c r="AEG10" s="43"/>
      <c r="AEH10" s="43"/>
      <c r="AEI10" s="43"/>
      <c r="AEJ10" s="43"/>
      <c r="AEK10" s="43"/>
      <c r="AEL10" s="43"/>
      <c r="AEM10" s="43"/>
      <c r="AEN10" s="43"/>
      <c r="AEO10" s="43"/>
      <c r="AEP10" s="43"/>
      <c r="AEQ10" s="43"/>
      <c r="AER10" s="43"/>
      <c r="AES10" s="43"/>
      <c r="AET10" s="43"/>
      <c r="AEU10" s="43"/>
      <c r="AEV10" s="43"/>
      <c r="AEW10" s="43"/>
      <c r="AEX10" s="43"/>
      <c r="AEY10" s="43"/>
      <c r="AEZ10" s="43"/>
      <c r="AFA10" s="43"/>
      <c r="AFB10" s="43"/>
      <c r="AFC10" s="43"/>
      <c r="AFD10" s="43"/>
      <c r="AFE10" s="43"/>
      <c r="AFF10" s="43"/>
      <c r="AFG10" s="43"/>
      <c r="AFH10" s="43"/>
      <c r="AFI10" s="43"/>
      <c r="AFJ10" s="43"/>
      <c r="AFK10" s="43"/>
      <c r="AFL10" s="43"/>
      <c r="AFM10" s="43"/>
      <c r="AFN10" s="43"/>
      <c r="AFO10" s="43"/>
      <c r="AFP10" s="43"/>
      <c r="AFQ10" s="43"/>
      <c r="AFR10" s="43"/>
      <c r="AFS10" s="43"/>
      <c r="AFT10" s="43"/>
      <c r="AFU10" s="43"/>
      <c r="AFV10" s="43"/>
      <c r="AFW10" s="43"/>
      <c r="AFX10" s="43"/>
      <c r="AFY10" s="43"/>
      <c r="AFZ10" s="43"/>
      <c r="AGA10" s="43"/>
      <c r="AGB10" s="43"/>
      <c r="AGC10" s="43"/>
      <c r="AGD10" s="43"/>
      <c r="AGE10" s="43"/>
      <c r="AGF10" s="43"/>
      <c r="AGG10" s="43"/>
      <c r="AGH10" s="43"/>
      <c r="AGI10" s="43"/>
      <c r="AGJ10" s="43"/>
      <c r="AGK10" s="43"/>
      <c r="AGL10" s="43"/>
      <c r="AGM10" s="43"/>
      <c r="AGN10" s="43"/>
      <c r="AGO10" s="43"/>
      <c r="AGP10" s="43"/>
      <c r="AGQ10" s="43"/>
      <c r="AGR10" s="43"/>
      <c r="AGS10" s="43"/>
      <c r="AGT10" s="43"/>
      <c r="AGU10" s="43"/>
      <c r="AGV10" s="43"/>
      <c r="AGW10" s="43"/>
      <c r="AGX10" s="43"/>
      <c r="AGY10" s="43"/>
      <c r="AGZ10" s="43"/>
      <c r="AHA10" s="43"/>
      <c r="AHB10" s="43"/>
      <c r="AHC10" s="43"/>
      <c r="AHD10" s="43"/>
      <c r="AHE10" s="43"/>
      <c r="AHF10" s="43"/>
      <c r="AHG10" s="43"/>
      <c r="AHH10" s="43"/>
      <c r="AHI10" s="43"/>
      <c r="AHJ10" s="43"/>
      <c r="AHK10" s="43"/>
      <c r="AHL10" s="43"/>
      <c r="AHM10" s="43"/>
      <c r="AHN10" s="43"/>
      <c r="AHO10" s="43"/>
      <c r="AHP10" s="43"/>
      <c r="AHQ10" s="43"/>
      <c r="AHR10" s="43"/>
      <c r="AHS10" s="43"/>
      <c r="AHT10" s="43"/>
      <c r="AHU10" s="43"/>
      <c r="AHV10" s="43"/>
      <c r="AHW10" s="43"/>
      <c r="AHX10" s="43"/>
      <c r="AHY10" s="43"/>
      <c r="AHZ10" s="43"/>
      <c r="AIA10" s="43"/>
      <c r="AIB10" s="43"/>
      <c r="AIC10" s="43"/>
      <c r="AID10" s="43"/>
      <c r="AIE10" s="43"/>
      <c r="AIF10" s="43"/>
      <c r="AIG10" s="43"/>
      <c r="AIH10" s="43"/>
      <c r="AII10" s="43"/>
      <c r="AIJ10" s="43"/>
      <c r="AIK10" s="43"/>
      <c r="AIL10" s="43"/>
      <c r="AIM10" s="43"/>
      <c r="AIN10" s="43"/>
      <c r="AIO10" s="43"/>
      <c r="AIP10" s="43"/>
      <c r="AIQ10" s="43"/>
      <c r="AIR10" s="43"/>
      <c r="AIS10" s="43"/>
      <c r="AIT10" s="43"/>
      <c r="AIU10" s="43"/>
      <c r="AIV10" s="43"/>
      <c r="AIW10" s="43"/>
      <c r="AIX10" s="43"/>
      <c r="AIY10" s="43"/>
      <c r="AIZ10" s="43"/>
      <c r="AJA10" s="43"/>
      <c r="AJB10" s="43"/>
      <c r="AJC10" s="43"/>
      <c r="AJD10" s="43"/>
      <c r="AJE10" s="43"/>
      <c r="AJF10" s="43"/>
      <c r="AJG10" s="43"/>
      <c r="AJH10" s="43"/>
      <c r="AJI10" s="43"/>
      <c r="AJJ10" s="43"/>
      <c r="AJK10" s="43"/>
      <c r="AJL10" s="43"/>
      <c r="AJM10" s="43"/>
      <c r="AJN10" s="43"/>
      <c r="AJO10" s="43"/>
      <c r="AJP10" s="43"/>
      <c r="AJQ10" s="43"/>
      <c r="AJR10" s="43"/>
      <c r="AJS10" s="43"/>
      <c r="AJT10" s="43"/>
      <c r="AJU10" s="43"/>
      <c r="AJV10" s="43"/>
      <c r="AJW10" s="43"/>
      <c r="AJX10" s="43"/>
      <c r="AJY10" s="43"/>
      <c r="AJZ10" s="43"/>
      <c r="AKA10" s="43"/>
      <c r="AKB10" s="43"/>
      <c r="AKC10" s="43"/>
      <c r="AKD10" s="43"/>
      <c r="AKE10" s="43"/>
      <c r="AKF10" s="43"/>
      <c r="AKG10" s="43"/>
      <c r="AKH10" s="43"/>
      <c r="AKI10" s="43"/>
      <c r="AKJ10" s="43"/>
      <c r="AKK10" s="43"/>
      <c r="AKL10" s="43"/>
      <c r="AKM10" s="43"/>
      <c r="AKN10" s="43"/>
      <c r="AKO10" s="43"/>
      <c r="AKP10" s="43"/>
      <c r="AKQ10" s="43"/>
      <c r="AKR10" s="43"/>
      <c r="AKS10" s="43"/>
      <c r="AKT10" s="43"/>
      <c r="AKU10" s="43"/>
      <c r="AKV10" s="43"/>
      <c r="AKW10" s="43"/>
      <c r="AKX10" s="43"/>
      <c r="AKY10" s="43"/>
      <c r="AKZ10" s="43"/>
      <c r="ALA10" s="43"/>
      <c r="ALB10" s="43"/>
      <c r="ALC10" s="43"/>
      <c r="ALD10" s="43"/>
      <c r="ALE10" s="43"/>
      <c r="ALF10" s="43"/>
      <c r="ALG10" s="43"/>
      <c r="ALH10" s="43"/>
      <c r="ALI10" s="43"/>
      <c r="ALJ10" s="43"/>
      <c r="ALK10" s="43"/>
      <c r="ALL10" s="43"/>
      <c r="ALM10" s="43"/>
      <c r="ALN10" s="43"/>
      <c r="ALO10" s="43"/>
      <c r="ALP10" s="43"/>
      <c r="ALQ10" s="43"/>
      <c r="ALR10" s="43"/>
      <c r="ALS10" s="43"/>
      <c r="ALT10" s="43"/>
      <c r="ALU10" s="43"/>
      <c r="ALV10" s="43"/>
      <c r="ALW10" s="43"/>
      <c r="ALX10" s="43"/>
      <c r="ALY10" s="43"/>
      <c r="ALZ10" s="43"/>
      <c r="AMA10" s="43"/>
      <c r="AMB10" s="43"/>
      <c r="AMC10" s="43"/>
      <c r="AMD10" s="43"/>
      <c r="AME10" s="43"/>
      <c r="AMF10" s="43"/>
      <c r="AMG10" s="43"/>
      <c r="AMH10" s="43"/>
      <c r="AMI10" s="43"/>
      <c r="AMJ10" s="43"/>
    </row>
    <row r="11" spans="1:1024" s="93" customFormat="1" ht="30" x14ac:dyDescent="0.25">
      <c r="A11" s="44" t="s">
        <v>52</v>
      </c>
      <c r="B11" s="45" t="s">
        <v>15</v>
      </c>
      <c r="C11" s="44" t="s">
        <v>53</v>
      </c>
      <c r="D11" s="44" t="s">
        <v>54</v>
      </c>
      <c r="E11" s="45" t="s">
        <v>55</v>
      </c>
      <c r="F11" s="44" t="s">
        <v>56</v>
      </c>
      <c r="G11" s="45" t="s">
        <v>57</v>
      </c>
      <c r="H11" s="44" t="s">
        <v>49</v>
      </c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  <c r="IW11" s="43"/>
      <c r="IX11" s="43"/>
      <c r="IY11" s="43"/>
      <c r="IZ11" s="43"/>
      <c r="JA11" s="43"/>
      <c r="JB11" s="43"/>
      <c r="JC11" s="43"/>
      <c r="JD11" s="43"/>
      <c r="JE11" s="43"/>
      <c r="JF11" s="43"/>
      <c r="JG11" s="43"/>
      <c r="JH11" s="43"/>
      <c r="JI11" s="43"/>
      <c r="JJ11" s="43"/>
      <c r="JK11" s="43"/>
      <c r="JL11" s="43"/>
      <c r="JM11" s="43"/>
      <c r="JN11" s="43"/>
      <c r="JO11" s="43"/>
      <c r="JP11" s="43"/>
      <c r="JQ11" s="43"/>
      <c r="JR11" s="43"/>
      <c r="JS11" s="43"/>
      <c r="JT11" s="43"/>
      <c r="JU11" s="43"/>
      <c r="JV11" s="43"/>
      <c r="JW11" s="43"/>
      <c r="JX11" s="43"/>
      <c r="JY11" s="43"/>
      <c r="JZ11" s="43"/>
      <c r="KA11" s="43"/>
      <c r="KB11" s="43"/>
      <c r="KC11" s="43"/>
      <c r="KD11" s="43"/>
      <c r="KE11" s="43"/>
      <c r="KF11" s="43"/>
      <c r="KG11" s="43"/>
      <c r="KH11" s="43"/>
      <c r="KI11" s="43"/>
      <c r="KJ11" s="43"/>
      <c r="KK11" s="43"/>
      <c r="KL11" s="43"/>
      <c r="KM11" s="43"/>
      <c r="KN11" s="43"/>
      <c r="KO11" s="43"/>
      <c r="KP11" s="43"/>
      <c r="KQ11" s="43"/>
      <c r="KR11" s="43"/>
      <c r="KS11" s="43"/>
      <c r="KT11" s="43"/>
      <c r="KU11" s="43"/>
      <c r="KV11" s="43"/>
      <c r="KW11" s="43"/>
      <c r="KX11" s="43"/>
      <c r="KY11" s="43"/>
      <c r="KZ11" s="43"/>
      <c r="LA11" s="43"/>
      <c r="LB11" s="43"/>
      <c r="LC11" s="43"/>
      <c r="LD11" s="43"/>
      <c r="LE11" s="43"/>
      <c r="LF11" s="43"/>
      <c r="LG11" s="43"/>
      <c r="LH11" s="43"/>
      <c r="LI11" s="43"/>
      <c r="LJ11" s="43"/>
      <c r="LK11" s="43"/>
      <c r="LL11" s="43"/>
      <c r="LM11" s="43"/>
      <c r="LN11" s="43"/>
      <c r="LO11" s="43"/>
      <c r="LP11" s="43"/>
      <c r="LQ11" s="43"/>
      <c r="LR11" s="43"/>
      <c r="LS11" s="43"/>
      <c r="LT11" s="43"/>
      <c r="LU11" s="43"/>
      <c r="LV11" s="43"/>
      <c r="LW11" s="43"/>
      <c r="LX11" s="43"/>
      <c r="LY11" s="43"/>
      <c r="LZ11" s="43"/>
      <c r="MA11" s="43"/>
      <c r="MB11" s="43"/>
      <c r="MC11" s="43"/>
      <c r="MD11" s="43"/>
      <c r="ME11" s="43"/>
      <c r="MF11" s="43"/>
      <c r="MG11" s="43"/>
      <c r="MH11" s="43"/>
      <c r="MI11" s="43"/>
      <c r="MJ11" s="43"/>
      <c r="MK11" s="43"/>
      <c r="ML11" s="43"/>
      <c r="MM11" s="43"/>
      <c r="MN11" s="43"/>
      <c r="MO11" s="43"/>
      <c r="MP11" s="43"/>
      <c r="MQ11" s="43"/>
      <c r="MR11" s="43"/>
      <c r="MS11" s="43"/>
      <c r="MT11" s="43"/>
      <c r="MU11" s="43"/>
      <c r="MV11" s="43"/>
      <c r="MW11" s="43"/>
      <c r="MX11" s="43"/>
      <c r="MY11" s="43"/>
      <c r="MZ11" s="43"/>
      <c r="NA11" s="43"/>
      <c r="NB11" s="43"/>
      <c r="NC11" s="43"/>
      <c r="ND11" s="43"/>
      <c r="NE11" s="43"/>
      <c r="NF11" s="43"/>
      <c r="NG11" s="43"/>
      <c r="NH11" s="43"/>
      <c r="NI11" s="43"/>
      <c r="NJ11" s="43"/>
      <c r="NK11" s="43"/>
      <c r="NL11" s="43"/>
      <c r="NM11" s="43"/>
      <c r="NN11" s="43"/>
      <c r="NO11" s="43"/>
      <c r="NP11" s="43"/>
      <c r="NQ11" s="43"/>
      <c r="NR11" s="43"/>
      <c r="NS11" s="43"/>
      <c r="NT11" s="43"/>
      <c r="NU11" s="43"/>
      <c r="NV11" s="43"/>
      <c r="NW11" s="43"/>
      <c r="NX11" s="43"/>
      <c r="NY11" s="43"/>
      <c r="NZ11" s="43"/>
      <c r="OA11" s="43"/>
      <c r="OB11" s="43"/>
      <c r="OC11" s="43"/>
      <c r="OD11" s="43"/>
      <c r="OE11" s="43"/>
      <c r="OF11" s="43"/>
      <c r="OG11" s="43"/>
      <c r="OH11" s="43"/>
      <c r="OI11" s="43"/>
      <c r="OJ11" s="43"/>
      <c r="OK11" s="43"/>
      <c r="OL11" s="43"/>
      <c r="OM11" s="43"/>
      <c r="ON11" s="43"/>
      <c r="OO11" s="43"/>
      <c r="OP11" s="43"/>
      <c r="OQ11" s="43"/>
      <c r="OR11" s="43"/>
      <c r="OS11" s="43"/>
      <c r="OT11" s="43"/>
      <c r="OU11" s="43"/>
      <c r="OV11" s="43"/>
      <c r="OW11" s="43"/>
      <c r="OX11" s="43"/>
      <c r="OY11" s="43"/>
      <c r="OZ11" s="43"/>
      <c r="PA11" s="43"/>
      <c r="PB11" s="43"/>
      <c r="PC11" s="43"/>
      <c r="PD11" s="43"/>
      <c r="PE11" s="43"/>
      <c r="PF11" s="43"/>
      <c r="PG11" s="43"/>
      <c r="PH11" s="43"/>
      <c r="PI11" s="43"/>
      <c r="PJ11" s="43"/>
      <c r="PK11" s="43"/>
      <c r="PL11" s="43"/>
      <c r="PM11" s="43"/>
      <c r="PN11" s="43"/>
      <c r="PO11" s="43"/>
      <c r="PP11" s="43"/>
      <c r="PQ11" s="43"/>
      <c r="PR11" s="43"/>
      <c r="PS11" s="43"/>
      <c r="PT11" s="43"/>
      <c r="PU11" s="43"/>
      <c r="PV11" s="43"/>
      <c r="PW11" s="43"/>
      <c r="PX11" s="43"/>
      <c r="PY11" s="43"/>
      <c r="PZ11" s="43"/>
      <c r="QA11" s="43"/>
      <c r="QB11" s="43"/>
      <c r="QC11" s="43"/>
      <c r="QD11" s="43"/>
      <c r="QE11" s="43"/>
      <c r="QF11" s="43"/>
      <c r="QG11" s="43"/>
      <c r="QH11" s="43"/>
      <c r="QI11" s="43"/>
      <c r="QJ11" s="43"/>
      <c r="QK11" s="43"/>
      <c r="QL11" s="43"/>
      <c r="QM11" s="43"/>
      <c r="QN11" s="43"/>
      <c r="QO11" s="43"/>
      <c r="QP11" s="43"/>
      <c r="QQ11" s="43"/>
      <c r="QR11" s="43"/>
      <c r="QS11" s="43"/>
      <c r="QT11" s="43"/>
      <c r="QU11" s="43"/>
      <c r="QV11" s="43"/>
      <c r="QW11" s="43"/>
      <c r="QX11" s="43"/>
      <c r="QY11" s="43"/>
      <c r="QZ11" s="43"/>
      <c r="RA11" s="43"/>
      <c r="RB11" s="43"/>
      <c r="RC11" s="43"/>
      <c r="RD11" s="43"/>
      <c r="RE11" s="43"/>
      <c r="RF11" s="43"/>
      <c r="RG11" s="43"/>
      <c r="RH11" s="43"/>
      <c r="RI11" s="43"/>
      <c r="RJ11" s="43"/>
      <c r="RK11" s="43"/>
      <c r="RL11" s="43"/>
      <c r="RM11" s="43"/>
      <c r="RN11" s="43"/>
      <c r="RO11" s="43"/>
      <c r="RP11" s="43"/>
      <c r="RQ11" s="43"/>
      <c r="RR11" s="43"/>
      <c r="RS11" s="43"/>
      <c r="RT11" s="43"/>
      <c r="RU11" s="43"/>
      <c r="RV11" s="43"/>
      <c r="RW11" s="43"/>
      <c r="RX11" s="43"/>
      <c r="RY11" s="43"/>
      <c r="RZ11" s="43"/>
      <c r="SA11" s="43"/>
      <c r="SB11" s="43"/>
      <c r="SC11" s="43"/>
      <c r="SD11" s="43"/>
      <c r="SE11" s="43"/>
      <c r="SF11" s="43"/>
      <c r="SG11" s="43"/>
      <c r="SH11" s="43"/>
      <c r="SI11" s="43"/>
      <c r="SJ11" s="43"/>
      <c r="SK11" s="43"/>
      <c r="SL11" s="43"/>
      <c r="SM11" s="43"/>
      <c r="SN11" s="43"/>
      <c r="SO11" s="43"/>
      <c r="SP11" s="43"/>
      <c r="SQ11" s="43"/>
      <c r="SR11" s="43"/>
      <c r="SS11" s="43"/>
      <c r="ST11" s="43"/>
      <c r="SU11" s="43"/>
      <c r="SV11" s="43"/>
      <c r="SW11" s="43"/>
      <c r="SX11" s="43"/>
      <c r="SY11" s="43"/>
      <c r="SZ11" s="43"/>
      <c r="TA11" s="43"/>
      <c r="TB11" s="43"/>
      <c r="TC11" s="43"/>
      <c r="TD11" s="43"/>
      <c r="TE11" s="43"/>
      <c r="TF11" s="43"/>
      <c r="TG11" s="43"/>
      <c r="TH11" s="43"/>
      <c r="TI11" s="43"/>
      <c r="TJ11" s="43"/>
      <c r="TK11" s="43"/>
      <c r="TL11" s="43"/>
      <c r="TM11" s="43"/>
      <c r="TN11" s="43"/>
      <c r="TO11" s="43"/>
      <c r="TP11" s="43"/>
      <c r="TQ11" s="43"/>
      <c r="TR11" s="43"/>
      <c r="TS11" s="43"/>
      <c r="TT11" s="43"/>
      <c r="TU11" s="43"/>
      <c r="TV11" s="43"/>
      <c r="TW11" s="43"/>
      <c r="TX11" s="43"/>
      <c r="TY11" s="43"/>
      <c r="TZ11" s="43"/>
      <c r="UA11" s="43"/>
      <c r="UB11" s="43"/>
      <c r="UC11" s="43"/>
      <c r="UD11" s="43"/>
      <c r="UE11" s="43"/>
      <c r="UF11" s="43"/>
      <c r="UG11" s="43"/>
      <c r="UH11" s="43"/>
      <c r="UI11" s="43"/>
      <c r="UJ11" s="43"/>
      <c r="UK11" s="43"/>
      <c r="UL11" s="43"/>
      <c r="UM11" s="43"/>
      <c r="UN11" s="43"/>
      <c r="UO11" s="43"/>
      <c r="UP11" s="43"/>
      <c r="UQ11" s="43"/>
      <c r="UR11" s="43"/>
      <c r="US11" s="43"/>
      <c r="UT11" s="43"/>
      <c r="UU11" s="43"/>
      <c r="UV11" s="43"/>
      <c r="UW11" s="43"/>
      <c r="UX11" s="43"/>
      <c r="UY11" s="43"/>
      <c r="UZ11" s="43"/>
      <c r="VA11" s="43"/>
      <c r="VB11" s="43"/>
      <c r="VC11" s="43"/>
      <c r="VD11" s="43"/>
      <c r="VE11" s="43"/>
      <c r="VF11" s="43"/>
      <c r="VG11" s="43"/>
      <c r="VH11" s="43"/>
      <c r="VI11" s="43"/>
      <c r="VJ11" s="43"/>
      <c r="VK11" s="43"/>
      <c r="VL11" s="43"/>
      <c r="VM11" s="43"/>
      <c r="VN11" s="43"/>
      <c r="VO11" s="43"/>
      <c r="VP11" s="43"/>
      <c r="VQ11" s="43"/>
      <c r="VR11" s="43"/>
      <c r="VS11" s="43"/>
      <c r="VT11" s="43"/>
      <c r="VU11" s="43"/>
      <c r="VV11" s="43"/>
      <c r="VW11" s="43"/>
      <c r="VX11" s="43"/>
      <c r="VY11" s="43"/>
      <c r="VZ11" s="43"/>
      <c r="WA11" s="43"/>
      <c r="WB11" s="43"/>
      <c r="WC11" s="43"/>
      <c r="WD11" s="43"/>
      <c r="WE11" s="43"/>
      <c r="WF11" s="43"/>
      <c r="WG11" s="43"/>
      <c r="WH11" s="43"/>
      <c r="WI11" s="43"/>
      <c r="WJ11" s="43"/>
      <c r="WK11" s="43"/>
      <c r="WL11" s="43"/>
      <c r="WM11" s="43"/>
      <c r="WN11" s="43"/>
      <c r="WO11" s="43"/>
      <c r="WP11" s="43"/>
      <c r="WQ11" s="43"/>
      <c r="WR11" s="43"/>
      <c r="WS11" s="43"/>
      <c r="WT11" s="43"/>
      <c r="WU11" s="43"/>
      <c r="WV11" s="43"/>
      <c r="WW11" s="43"/>
      <c r="WX11" s="43"/>
      <c r="WY11" s="43"/>
      <c r="WZ11" s="43"/>
      <c r="XA11" s="43"/>
      <c r="XB11" s="43"/>
      <c r="XC11" s="43"/>
      <c r="XD11" s="43"/>
      <c r="XE11" s="43"/>
      <c r="XF11" s="43"/>
      <c r="XG11" s="43"/>
      <c r="XH11" s="43"/>
      <c r="XI11" s="43"/>
      <c r="XJ11" s="43"/>
      <c r="XK11" s="43"/>
      <c r="XL11" s="43"/>
      <c r="XM11" s="43"/>
      <c r="XN11" s="43"/>
      <c r="XO11" s="43"/>
      <c r="XP11" s="43"/>
      <c r="XQ11" s="43"/>
      <c r="XR11" s="43"/>
      <c r="XS11" s="43"/>
      <c r="XT11" s="43"/>
      <c r="XU11" s="43"/>
      <c r="XV11" s="43"/>
      <c r="XW11" s="43"/>
      <c r="XX11" s="43"/>
      <c r="XY11" s="43"/>
      <c r="XZ11" s="43"/>
      <c r="YA11" s="43"/>
      <c r="YB11" s="43"/>
      <c r="YC11" s="43"/>
      <c r="YD11" s="43"/>
      <c r="YE11" s="43"/>
      <c r="YF11" s="43"/>
      <c r="YG11" s="43"/>
      <c r="YH11" s="43"/>
      <c r="YI11" s="43"/>
      <c r="YJ11" s="43"/>
      <c r="YK11" s="43"/>
      <c r="YL11" s="43"/>
      <c r="YM11" s="43"/>
      <c r="YN11" s="43"/>
      <c r="YO11" s="43"/>
      <c r="YP11" s="43"/>
      <c r="YQ11" s="43"/>
      <c r="YR11" s="43"/>
      <c r="YS11" s="43"/>
      <c r="YT11" s="43"/>
      <c r="YU11" s="43"/>
      <c r="YV11" s="43"/>
      <c r="YW11" s="43"/>
      <c r="YX11" s="43"/>
      <c r="YY11" s="43"/>
      <c r="YZ11" s="43"/>
      <c r="ZA11" s="43"/>
      <c r="ZB11" s="43"/>
      <c r="ZC11" s="43"/>
      <c r="ZD11" s="43"/>
      <c r="ZE11" s="43"/>
      <c r="ZF11" s="43"/>
      <c r="ZG11" s="43"/>
      <c r="ZH11" s="43"/>
      <c r="ZI11" s="43"/>
      <c r="ZJ11" s="43"/>
      <c r="ZK11" s="43"/>
      <c r="ZL11" s="43"/>
      <c r="ZM11" s="43"/>
      <c r="ZN11" s="43"/>
      <c r="ZO11" s="43"/>
      <c r="ZP11" s="43"/>
      <c r="ZQ11" s="43"/>
      <c r="ZR11" s="43"/>
      <c r="ZS11" s="43"/>
      <c r="ZT11" s="43"/>
      <c r="ZU11" s="43"/>
      <c r="ZV11" s="43"/>
      <c r="ZW11" s="43"/>
      <c r="ZX11" s="43"/>
      <c r="ZY11" s="43"/>
      <c r="ZZ11" s="43"/>
      <c r="AAA11" s="43"/>
      <c r="AAB11" s="43"/>
      <c r="AAC11" s="43"/>
      <c r="AAD11" s="43"/>
      <c r="AAE11" s="43"/>
      <c r="AAF11" s="43"/>
      <c r="AAG11" s="43"/>
      <c r="AAH11" s="43"/>
      <c r="AAI11" s="43"/>
      <c r="AAJ11" s="43"/>
      <c r="AAK11" s="43"/>
      <c r="AAL11" s="43"/>
      <c r="AAM11" s="43"/>
      <c r="AAN11" s="43"/>
      <c r="AAO11" s="43"/>
      <c r="AAP11" s="43"/>
      <c r="AAQ11" s="43"/>
      <c r="AAR11" s="43"/>
      <c r="AAS11" s="43"/>
      <c r="AAT11" s="43"/>
      <c r="AAU11" s="43"/>
      <c r="AAV11" s="43"/>
      <c r="AAW11" s="43"/>
      <c r="AAX11" s="43"/>
      <c r="AAY11" s="43"/>
      <c r="AAZ11" s="43"/>
      <c r="ABA11" s="43"/>
      <c r="ABB11" s="43"/>
      <c r="ABC11" s="43"/>
      <c r="ABD11" s="43"/>
      <c r="ABE11" s="43"/>
      <c r="ABF11" s="43"/>
      <c r="ABG11" s="43"/>
      <c r="ABH11" s="43"/>
      <c r="ABI11" s="43"/>
      <c r="ABJ11" s="43"/>
      <c r="ABK11" s="43"/>
      <c r="ABL11" s="43"/>
      <c r="ABM11" s="43"/>
      <c r="ABN11" s="43"/>
      <c r="ABO11" s="43"/>
      <c r="ABP11" s="43"/>
      <c r="ABQ11" s="43"/>
      <c r="ABR11" s="43"/>
      <c r="ABS11" s="43"/>
      <c r="ABT11" s="43"/>
      <c r="ABU11" s="43"/>
      <c r="ABV11" s="43"/>
      <c r="ABW11" s="43"/>
      <c r="ABX11" s="43"/>
      <c r="ABY11" s="43"/>
      <c r="ABZ11" s="43"/>
      <c r="ACA11" s="43"/>
      <c r="ACB11" s="43"/>
      <c r="ACC11" s="43"/>
      <c r="ACD11" s="43"/>
      <c r="ACE11" s="43"/>
      <c r="ACF11" s="43"/>
      <c r="ACG11" s="43"/>
      <c r="ACH11" s="43"/>
      <c r="ACI11" s="43"/>
      <c r="ACJ11" s="43"/>
      <c r="ACK11" s="43"/>
      <c r="ACL11" s="43"/>
      <c r="ACM11" s="43"/>
      <c r="ACN11" s="43"/>
      <c r="ACO11" s="43"/>
      <c r="ACP11" s="43"/>
      <c r="ACQ11" s="43"/>
      <c r="ACR11" s="43"/>
      <c r="ACS11" s="43"/>
      <c r="ACT11" s="43"/>
      <c r="ACU11" s="43"/>
      <c r="ACV11" s="43"/>
      <c r="ACW11" s="43"/>
      <c r="ACX11" s="43"/>
      <c r="ACY11" s="43"/>
      <c r="ACZ11" s="43"/>
      <c r="ADA11" s="43"/>
      <c r="ADB11" s="43"/>
      <c r="ADC11" s="43"/>
      <c r="ADD11" s="43"/>
      <c r="ADE11" s="43"/>
      <c r="ADF11" s="43"/>
      <c r="ADG11" s="43"/>
      <c r="ADH11" s="43"/>
      <c r="ADI11" s="43"/>
      <c r="ADJ11" s="43"/>
      <c r="ADK11" s="43"/>
      <c r="ADL11" s="43"/>
      <c r="ADM11" s="43"/>
      <c r="ADN11" s="43"/>
      <c r="ADO11" s="43"/>
      <c r="ADP11" s="43"/>
      <c r="ADQ11" s="43"/>
      <c r="ADR11" s="43"/>
      <c r="ADS11" s="43"/>
      <c r="ADT11" s="43"/>
      <c r="ADU11" s="43"/>
      <c r="ADV11" s="43"/>
      <c r="ADW11" s="43"/>
      <c r="ADX11" s="43"/>
      <c r="ADY11" s="43"/>
      <c r="ADZ11" s="43"/>
      <c r="AEA11" s="43"/>
      <c r="AEB11" s="43"/>
      <c r="AEC11" s="43"/>
      <c r="AED11" s="43"/>
      <c r="AEE11" s="43"/>
      <c r="AEF11" s="43"/>
      <c r="AEG11" s="43"/>
      <c r="AEH11" s="43"/>
      <c r="AEI11" s="43"/>
      <c r="AEJ11" s="43"/>
      <c r="AEK11" s="43"/>
      <c r="AEL11" s="43"/>
      <c r="AEM11" s="43"/>
      <c r="AEN11" s="43"/>
      <c r="AEO11" s="43"/>
      <c r="AEP11" s="43"/>
      <c r="AEQ11" s="43"/>
      <c r="AER11" s="43"/>
      <c r="AES11" s="43"/>
      <c r="AET11" s="43"/>
      <c r="AEU11" s="43"/>
      <c r="AEV11" s="43"/>
      <c r="AEW11" s="43"/>
      <c r="AEX11" s="43"/>
      <c r="AEY11" s="43"/>
      <c r="AEZ11" s="43"/>
      <c r="AFA11" s="43"/>
      <c r="AFB11" s="43"/>
      <c r="AFC11" s="43"/>
      <c r="AFD11" s="43"/>
      <c r="AFE11" s="43"/>
      <c r="AFF11" s="43"/>
      <c r="AFG11" s="43"/>
      <c r="AFH11" s="43"/>
      <c r="AFI11" s="43"/>
      <c r="AFJ11" s="43"/>
      <c r="AFK11" s="43"/>
      <c r="AFL11" s="43"/>
      <c r="AFM11" s="43"/>
      <c r="AFN11" s="43"/>
      <c r="AFO11" s="43"/>
      <c r="AFP11" s="43"/>
      <c r="AFQ11" s="43"/>
      <c r="AFR11" s="43"/>
      <c r="AFS11" s="43"/>
      <c r="AFT11" s="43"/>
      <c r="AFU11" s="43"/>
      <c r="AFV11" s="43"/>
      <c r="AFW11" s="43"/>
      <c r="AFX11" s="43"/>
      <c r="AFY11" s="43"/>
      <c r="AFZ11" s="43"/>
      <c r="AGA11" s="43"/>
      <c r="AGB11" s="43"/>
      <c r="AGC11" s="43"/>
      <c r="AGD11" s="43"/>
      <c r="AGE11" s="43"/>
      <c r="AGF11" s="43"/>
      <c r="AGG11" s="43"/>
      <c r="AGH11" s="43"/>
      <c r="AGI11" s="43"/>
      <c r="AGJ11" s="43"/>
      <c r="AGK11" s="43"/>
      <c r="AGL11" s="43"/>
      <c r="AGM11" s="43"/>
      <c r="AGN11" s="43"/>
      <c r="AGO11" s="43"/>
      <c r="AGP11" s="43"/>
      <c r="AGQ11" s="43"/>
      <c r="AGR11" s="43"/>
      <c r="AGS11" s="43"/>
      <c r="AGT11" s="43"/>
      <c r="AGU11" s="43"/>
      <c r="AGV11" s="43"/>
      <c r="AGW11" s="43"/>
      <c r="AGX11" s="43"/>
      <c r="AGY11" s="43"/>
      <c r="AGZ11" s="43"/>
      <c r="AHA11" s="43"/>
      <c r="AHB11" s="43"/>
      <c r="AHC11" s="43"/>
      <c r="AHD11" s="43"/>
      <c r="AHE11" s="43"/>
      <c r="AHF11" s="43"/>
      <c r="AHG11" s="43"/>
      <c r="AHH11" s="43"/>
      <c r="AHI11" s="43"/>
      <c r="AHJ11" s="43"/>
      <c r="AHK11" s="43"/>
      <c r="AHL11" s="43"/>
      <c r="AHM11" s="43"/>
      <c r="AHN11" s="43"/>
      <c r="AHO11" s="43"/>
      <c r="AHP11" s="43"/>
      <c r="AHQ11" s="43"/>
      <c r="AHR11" s="43"/>
      <c r="AHS11" s="43"/>
      <c r="AHT11" s="43"/>
      <c r="AHU11" s="43"/>
      <c r="AHV11" s="43"/>
      <c r="AHW11" s="43"/>
      <c r="AHX11" s="43"/>
      <c r="AHY11" s="43"/>
      <c r="AHZ11" s="43"/>
      <c r="AIA11" s="43"/>
      <c r="AIB11" s="43"/>
      <c r="AIC11" s="43"/>
      <c r="AID11" s="43"/>
      <c r="AIE11" s="43"/>
      <c r="AIF11" s="43"/>
      <c r="AIG11" s="43"/>
      <c r="AIH11" s="43"/>
      <c r="AII11" s="43"/>
      <c r="AIJ11" s="43"/>
      <c r="AIK11" s="43"/>
      <c r="AIL11" s="43"/>
      <c r="AIM11" s="43"/>
      <c r="AIN11" s="43"/>
      <c r="AIO11" s="43"/>
      <c r="AIP11" s="43"/>
      <c r="AIQ11" s="43"/>
      <c r="AIR11" s="43"/>
      <c r="AIS11" s="43"/>
      <c r="AIT11" s="43"/>
      <c r="AIU11" s="43"/>
      <c r="AIV11" s="43"/>
      <c r="AIW11" s="43"/>
      <c r="AIX11" s="43"/>
      <c r="AIY11" s="43"/>
      <c r="AIZ11" s="43"/>
      <c r="AJA11" s="43"/>
      <c r="AJB11" s="43"/>
      <c r="AJC11" s="43"/>
      <c r="AJD11" s="43"/>
      <c r="AJE11" s="43"/>
      <c r="AJF11" s="43"/>
      <c r="AJG11" s="43"/>
      <c r="AJH11" s="43"/>
      <c r="AJI11" s="43"/>
      <c r="AJJ11" s="43"/>
      <c r="AJK11" s="43"/>
      <c r="AJL11" s="43"/>
      <c r="AJM11" s="43"/>
      <c r="AJN11" s="43"/>
      <c r="AJO11" s="43"/>
      <c r="AJP11" s="43"/>
      <c r="AJQ11" s="43"/>
      <c r="AJR11" s="43"/>
      <c r="AJS11" s="43"/>
      <c r="AJT11" s="43"/>
      <c r="AJU11" s="43"/>
      <c r="AJV11" s="43"/>
      <c r="AJW11" s="43"/>
      <c r="AJX11" s="43"/>
      <c r="AJY11" s="43"/>
      <c r="AJZ11" s="43"/>
      <c r="AKA11" s="43"/>
      <c r="AKB11" s="43"/>
      <c r="AKC11" s="43"/>
      <c r="AKD11" s="43"/>
      <c r="AKE11" s="43"/>
      <c r="AKF11" s="43"/>
      <c r="AKG11" s="43"/>
      <c r="AKH11" s="43"/>
      <c r="AKI11" s="43"/>
      <c r="AKJ11" s="43"/>
      <c r="AKK11" s="43"/>
      <c r="AKL11" s="43"/>
      <c r="AKM11" s="43"/>
      <c r="AKN11" s="43"/>
      <c r="AKO11" s="43"/>
      <c r="AKP11" s="43"/>
      <c r="AKQ11" s="43"/>
      <c r="AKR11" s="43"/>
      <c r="AKS11" s="43"/>
      <c r="AKT11" s="43"/>
      <c r="AKU11" s="43"/>
      <c r="AKV11" s="43"/>
      <c r="AKW11" s="43"/>
      <c r="AKX11" s="43"/>
      <c r="AKY11" s="43"/>
      <c r="AKZ11" s="43"/>
      <c r="ALA11" s="43"/>
      <c r="ALB11" s="43"/>
      <c r="ALC11" s="43"/>
      <c r="ALD11" s="43"/>
      <c r="ALE11" s="43"/>
      <c r="ALF11" s="43"/>
      <c r="ALG11" s="43"/>
      <c r="ALH11" s="43"/>
      <c r="ALI11" s="43"/>
      <c r="ALJ11" s="43"/>
      <c r="ALK11" s="43"/>
      <c r="ALL11" s="43"/>
      <c r="ALM11" s="43"/>
      <c r="ALN11" s="43"/>
      <c r="ALO11" s="43"/>
      <c r="ALP11" s="43"/>
      <c r="ALQ11" s="43"/>
      <c r="ALR11" s="43"/>
      <c r="ALS11" s="43"/>
      <c r="ALT11" s="43"/>
      <c r="ALU11" s="43"/>
      <c r="ALV11" s="43"/>
      <c r="ALW11" s="43"/>
      <c r="ALX11" s="43"/>
      <c r="ALY11" s="43"/>
      <c r="ALZ11" s="43"/>
      <c r="AMA11" s="43"/>
      <c r="AMB11" s="43"/>
      <c r="AMC11" s="43"/>
      <c r="AMD11" s="43"/>
      <c r="AME11" s="43"/>
      <c r="AMF11" s="43"/>
      <c r="AMG11" s="43"/>
      <c r="AMH11" s="43"/>
      <c r="AMI11" s="43"/>
    </row>
    <row r="12" spans="1:1024" s="93" customFormat="1" ht="30" x14ac:dyDescent="0.25">
      <c r="A12" s="46" t="s">
        <v>9</v>
      </c>
      <c r="B12" s="47">
        <f>' KESZI ktgvetési mérleg'!F12</f>
        <v>442578200</v>
      </c>
      <c r="C12" s="47">
        <f>' KESZI ktgvetési mérleg'!F13</f>
        <v>84147341</v>
      </c>
      <c r="D12" s="47">
        <f>' KESZI ktgvetési mérleg'!F14</f>
        <v>249266645</v>
      </c>
      <c r="E12" s="47">
        <f>' KESZI ktgvetési mérleg'!F15</f>
        <v>723020</v>
      </c>
      <c r="F12" s="47">
        <v>0</v>
      </c>
      <c r="G12" s="47">
        <f>' KESZI ktgvetési mérleg'!F19</f>
        <v>7693079</v>
      </c>
      <c r="H12" s="47">
        <f>SUM(B12:G12)</f>
        <v>784408285</v>
      </c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  <c r="IX12" s="43"/>
      <c r="IY12" s="43"/>
      <c r="IZ12" s="43"/>
      <c r="JA12" s="43"/>
      <c r="JB12" s="43"/>
      <c r="JC12" s="43"/>
      <c r="JD12" s="43"/>
      <c r="JE12" s="43"/>
      <c r="JF12" s="43"/>
      <c r="JG12" s="43"/>
      <c r="JH12" s="43"/>
      <c r="JI12" s="43"/>
      <c r="JJ12" s="43"/>
      <c r="JK12" s="43"/>
      <c r="JL12" s="43"/>
      <c r="JM12" s="43"/>
      <c r="JN12" s="43"/>
      <c r="JO12" s="43"/>
      <c r="JP12" s="43"/>
      <c r="JQ12" s="43"/>
      <c r="JR12" s="43"/>
      <c r="JS12" s="43"/>
      <c r="JT12" s="43"/>
      <c r="JU12" s="43"/>
      <c r="JV12" s="43"/>
      <c r="JW12" s="43"/>
      <c r="JX12" s="43"/>
      <c r="JY12" s="43"/>
      <c r="JZ12" s="43"/>
      <c r="KA12" s="43"/>
      <c r="KB12" s="43"/>
      <c r="KC12" s="43"/>
      <c r="KD12" s="43"/>
      <c r="KE12" s="43"/>
      <c r="KF12" s="43"/>
      <c r="KG12" s="43"/>
      <c r="KH12" s="43"/>
      <c r="KI12" s="43"/>
      <c r="KJ12" s="43"/>
      <c r="KK12" s="43"/>
      <c r="KL12" s="43"/>
      <c r="KM12" s="43"/>
      <c r="KN12" s="43"/>
      <c r="KO12" s="43"/>
      <c r="KP12" s="43"/>
      <c r="KQ12" s="43"/>
      <c r="KR12" s="43"/>
      <c r="KS12" s="43"/>
      <c r="KT12" s="43"/>
      <c r="KU12" s="43"/>
      <c r="KV12" s="43"/>
      <c r="KW12" s="43"/>
      <c r="KX12" s="43"/>
      <c r="KY12" s="43"/>
      <c r="KZ12" s="43"/>
      <c r="LA12" s="43"/>
      <c r="LB12" s="43"/>
      <c r="LC12" s="43"/>
      <c r="LD12" s="43"/>
      <c r="LE12" s="43"/>
      <c r="LF12" s="43"/>
      <c r="LG12" s="43"/>
      <c r="LH12" s="43"/>
      <c r="LI12" s="43"/>
      <c r="LJ12" s="43"/>
      <c r="LK12" s="43"/>
      <c r="LL12" s="43"/>
      <c r="LM12" s="43"/>
      <c r="LN12" s="43"/>
      <c r="LO12" s="43"/>
      <c r="LP12" s="43"/>
      <c r="LQ12" s="43"/>
      <c r="LR12" s="43"/>
      <c r="LS12" s="43"/>
      <c r="LT12" s="43"/>
      <c r="LU12" s="43"/>
      <c r="LV12" s="43"/>
      <c r="LW12" s="43"/>
      <c r="LX12" s="43"/>
      <c r="LY12" s="43"/>
      <c r="LZ12" s="43"/>
      <c r="MA12" s="43"/>
      <c r="MB12" s="43"/>
      <c r="MC12" s="43"/>
      <c r="MD12" s="43"/>
      <c r="ME12" s="43"/>
      <c r="MF12" s="43"/>
      <c r="MG12" s="43"/>
      <c r="MH12" s="43"/>
      <c r="MI12" s="43"/>
      <c r="MJ12" s="43"/>
      <c r="MK12" s="43"/>
      <c r="ML12" s="43"/>
      <c r="MM12" s="43"/>
      <c r="MN12" s="43"/>
      <c r="MO12" s="43"/>
      <c r="MP12" s="43"/>
      <c r="MQ12" s="43"/>
      <c r="MR12" s="43"/>
      <c r="MS12" s="43"/>
      <c r="MT12" s="43"/>
      <c r="MU12" s="43"/>
      <c r="MV12" s="43"/>
      <c r="MW12" s="43"/>
      <c r="MX12" s="43"/>
      <c r="MY12" s="43"/>
      <c r="MZ12" s="43"/>
      <c r="NA12" s="43"/>
      <c r="NB12" s="43"/>
      <c r="NC12" s="43"/>
      <c r="ND12" s="43"/>
      <c r="NE12" s="43"/>
      <c r="NF12" s="43"/>
      <c r="NG12" s="43"/>
      <c r="NH12" s="43"/>
      <c r="NI12" s="43"/>
      <c r="NJ12" s="43"/>
      <c r="NK12" s="43"/>
      <c r="NL12" s="43"/>
      <c r="NM12" s="43"/>
      <c r="NN12" s="43"/>
      <c r="NO12" s="43"/>
      <c r="NP12" s="43"/>
      <c r="NQ12" s="43"/>
      <c r="NR12" s="43"/>
      <c r="NS12" s="43"/>
      <c r="NT12" s="43"/>
      <c r="NU12" s="43"/>
      <c r="NV12" s="43"/>
      <c r="NW12" s="43"/>
      <c r="NX12" s="43"/>
      <c r="NY12" s="43"/>
      <c r="NZ12" s="43"/>
      <c r="OA12" s="43"/>
      <c r="OB12" s="43"/>
      <c r="OC12" s="43"/>
      <c r="OD12" s="43"/>
      <c r="OE12" s="43"/>
      <c r="OF12" s="43"/>
      <c r="OG12" s="43"/>
      <c r="OH12" s="43"/>
      <c r="OI12" s="43"/>
      <c r="OJ12" s="43"/>
      <c r="OK12" s="43"/>
      <c r="OL12" s="43"/>
      <c r="OM12" s="43"/>
      <c r="ON12" s="43"/>
      <c r="OO12" s="43"/>
      <c r="OP12" s="43"/>
      <c r="OQ12" s="43"/>
      <c r="OR12" s="43"/>
      <c r="OS12" s="43"/>
      <c r="OT12" s="43"/>
      <c r="OU12" s="43"/>
      <c r="OV12" s="43"/>
      <c r="OW12" s="43"/>
      <c r="OX12" s="43"/>
      <c r="OY12" s="43"/>
      <c r="OZ12" s="43"/>
      <c r="PA12" s="43"/>
      <c r="PB12" s="43"/>
      <c r="PC12" s="43"/>
      <c r="PD12" s="43"/>
      <c r="PE12" s="43"/>
      <c r="PF12" s="43"/>
      <c r="PG12" s="43"/>
      <c r="PH12" s="43"/>
      <c r="PI12" s="43"/>
      <c r="PJ12" s="43"/>
      <c r="PK12" s="43"/>
      <c r="PL12" s="43"/>
      <c r="PM12" s="43"/>
      <c r="PN12" s="43"/>
      <c r="PO12" s="43"/>
      <c r="PP12" s="43"/>
      <c r="PQ12" s="43"/>
      <c r="PR12" s="43"/>
      <c r="PS12" s="43"/>
      <c r="PT12" s="43"/>
      <c r="PU12" s="43"/>
      <c r="PV12" s="43"/>
      <c r="PW12" s="43"/>
      <c r="PX12" s="43"/>
      <c r="PY12" s="43"/>
      <c r="PZ12" s="43"/>
      <c r="QA12" s="43"/>
      <c r="QB12" s="43"/>
      <c r="QC12" s="43"/>
      <c r="QD12" s="43"/>
      <c r="QE12" s="43"/>
      <c r="QF12" s="43"/>
      <c r="QG12" s="43"/>
      <c r="QH12" s="43"/>
      <c r="QI12" s="43"/>
      <c r="QJ12" s="43"/>
      <c r="QK12" s="43"/>
      <c r="QL12" s="43"/>
      <c r="QM12" s="43"/>
      <c r="QN12" s="43"/>
      <c r="QO12" s="43"/>
      <c r="QP12" s="43"/>
      <c r="QQ12" s="43"/>
      <c r="QR12" s="43"/>
      <c r="QS12" s="43"/>
      <c r="QT12" s="43"/>
      <c r="QU12" s="43"/>
      <c r="QV12" s="43"/>
      <c r="QW12" s="43"/>
      <c r="QX12" s="43"/>
      <c r="QY12" s="43"/>
      <c r="QZ12" s="43"/>
      <c r="RA12" s="43"/>
      <c r="RB12" s="43"/>
      <c r="RC12" s="43"/>
      <c r="RD12" s="43"/>
      <c r="RE12" s="43"/>
      <c r="RF12" s="43"/>
      <c r="RG12" s="43"/>
      <c r="RH12" s="43"/>
      <c r="RI12" s="43"/>
      <c r="RJ12" s="43"/>
      <c r="RK12" s="43"/>
      <c r="RL12" s="43"/>
      <c r="RM12" s="43"/>
      <c r="RN12" s="43"/>
      <c r="RO12" s="43"/>
      <c r="RP12" s="43"/>
      <c r="RQ12" s="43"/>
      <c r="RR12" s="43"/>
      <c r="RS12" s="43"/>
      <c r="RT12" s="43"/>
      <c r="RU12" s="43"/>
      <c r="RV12" s="43"/>
      <c r="RW12" s="43"/>
      <c r="RX12" s="43"/>
      <c r="RY12" s="43"/>
      <c r="RZ12" s="43"/>
      <c r="SA12" s="43"/>
      <c r="SB12" s="43"/>
      <c r="SC12" s="43"/>
      <c r="SD12" s="43"/>
      <c r="SE12" s="43"/>
      <c r="SF12" s="43"/>
      <c r="SG12" s="43"/>
      <c r="SH12" s="43"/>
      <c r="SI12" s="43"/>
      <c r="SJ12" s="43"/>
      <c r="SK12" s="43"/>
      <c r="SL12" s="43"/>
      <c r="SM12" s="43"/>
      <c r="SN12" s="43"/>
      <c r="SO12" s="43"/>
      <c r="SP12" s="43"/>
      <c r="SQ12" s="43"/>
      <c r="SR12" s="43"/>
      <c r="SS12" s="43"/>
      <c r="ST12" s="43"/>
      <c r="SU12" s="43"/>
      <c r="SV12" s="43"/>
      <c r="SW12" s="43"/>
      <c r="SX12" s="43"/>
      <c r="SY12" s="43"/>
      <c r="SZ12" s="43"/>
      <c r="TA12" s="43"/>
      <c r="TB12" s="43"/>
      <c r="TC12" s="43"/>
      <c r="TD12" s="43"/>
      <c r="TE12" s="43"/>
      <c r="TF12" s="43"/>
      <c r="TG12" s="43"/>
      <c r="TH12" s="43"/>
      <c r="TI12" s="43"/>
      <c r="TJ12" s="43"/>
      <c r="TK12" s="43"/>
      <c r="TL12" s="43"/>
      <c r="TM12" s="43"/>
      <c r="TN12" s="43"/>
      <c r="TO12" s="43"/>
      <c r="TP12" s="43"/>
      <c r="TQ12" s="43"/>
      <c r="TR12" s="43"/>
      <c r="TS12" s="43"/>
      <c r="TT12" s="43"/>
      <c r="TU12" s="43"/>
      <c r="TV12" s="43"/>
      <c r="TW12" s="43"/>
      <c r="TX12" s="43"/>
      <c r="TY12" s="43"/>
      <c r="TZ12" s="43"/>
      <c r="UA12" s="43"/>
      <c r="UB12" s="43"/>
      <c r="UC12" s="43"/>
      <c r="UD12" s="43"/>
      <c r="UE12" s="43"/>
      <c r="UF12" s="43"/>
      <c r="UG12" s="43"/>
      <c r="UH12" s="43"/>
      <c r="UI12" s="43"/>
      <c r="UJ12" s="43"/>
      <c r="UK12" s="43"/>
      <c r="UL12" s="43"/>
      <c r="UM12" s="43"/>
      <c r="UN12" s="43"/>
      <c r="UO12" s="43"/>
      <c r="UP12" s="43"/>
      <c r="UQ12" s="43"/>
      <c r="UR12" s="43"/>
      <c r="US12" s="43"/>
      <c r="UT12" s="43"/>
      <c r="UU12" s="43"/>
      <c r="UV12" s="43"/>
      <c r="UW12" s="43"/>
      <c r="UX12" s="43"/>
      <c r="UY12" s="43"/>
      <c r="UZ12" s="43"/>
      <c r="VA12" s="43"/>
      <c r="VB12" s="43"/>
      <c r="VC12" s="43"/>
      <c r="VD12" s="43"/>
      <c r="VE12" s="43"/>
      <c r="VF12" s="43"/>
      <c r="VG12" s="43"/>
      <c r="VH12" s="43"/>
      <c r="VI12" s="43"/>
      <c r="VJ12" s="43"/>
      <c r="VK12" s="43"/>
      <c r="VL12" s="43"/>
      <c r="VM12" s="43"/>
      <c r="VN12" s="43"/>
      <c r="VO12" s="43"/>
      <c r="VP12" s="43"/>
      <c r="VQ12" s="43"/>
      <c r="VR12" s="43"/>
      <c r="VS12" s="43"/>
      <c r="VT12" s="43"/>
      <c r="VU12" s="43"/>
      <c r="VV12" s="43"/>
      <c r="VW12" s="43"/>
      <c r="VX12" s="43"/>
      <c r="VY12" s="43"/>
      <c r="VZ12" s="43"/>
      <c r="WA12" s="43"/>
      <c r="WB12" s="43"/>
      <c r="WC12" s="43"/>
      <c r="WD12" s="43"/>
      <c r="WE12" s="43"/>
      <c r="WF12" s="43"/>
      <c r="WG12" s="43"/>
      <c r="WH12" s="43"/>
      <c r="WI12" s="43"/>
      <c r="WJ12" s="43"/>
      <c r="WK12" s="43"/>
      <c r="WL12" s="43"/>
      <c r="WM12" s="43"/>
      <c r="WN12" s="43"/>
      <c r="WO12" s="43"/>
      <c r="WP12" s="43"/>
      <c r="WQ12" s="43"/>
      <c r="WR12" s="43"/>
      <c r="WS12" s="43"/>
      <c r="WT12" s="43"/>
      <c r="WU12" s="43"/>
      <c r="WV12" s="43"/>
      <c r="WW12" s="43"/>
      <c r="WX12" s="43"/>
      <c r="WY12" s="43"/>
      <c r="WZ12" s="43"/>
      <c r="XA12" s="43"/>
      <c r="XB12" s="43"/>
      <c r="XC12" s="43"/>
      <c r="XD12" s="43"/>
      <c r="XE12" s="43"/>
      <c r="XF12" s="43"/>
      <c r="XG12" s="43"/>
      <c r="XH12" s="43"/>
      <c r="XI12" s="43"/>
      <c r="XJ12" s="43"/>
      <c r="XK12" s="43"/>
      <c r="XL12" s="43"/>
      <c r="XM12" s="43"/>
      <c r="XN12" s="43"/>
      <c r="XO12" s="43"/>
      <c r="XP12" s="43"/>
      <c r="XQ12" s="43"/>
      <c r="XR12" s="43"/>
      <c r="XS12" s="43"/>
      <c r="XT12" s="43"/>
      <c r="XU12" s="43"/>
      <c r="XV12" s="43"/>
      <c r="XW12" s="43"/>
      <c r="XX12" s="43"/>
      <c r="XY12" s="43"/>
      <c r="XZ12" s="43"/>
      <c r="YA12" s="43"/>
      <c r="YB12" s="43"/>
      <c r="YC12" s="43"/>
      <c r="YD12" s="43"/>
      <c r="YE12" s="43"/>
      <c r="YF12" s="43"/>
      <c r="YG12" s="43"/>
      <c r="YH12" s="43"/>
      <c r="YI12" s="43"/>
      <c r="YJ12" s="43"/>
      <c r="YK12" s="43"/>
      <c r="YL12" s="43"/>
      <c r="YM12" s="43"/>
      <c r="YN12" s="43"/>
      <c r="YO12" s="43"/>
      <c r="YP12" s="43"/>
      <c r="YQ12" s="43"/>
      <c r="YR12" s="43"/>
      <c r="YS12" s="43"/>
      <c r="YT12" s="43"/>
      <c r="YU12" s="43"/>
      <c r="YV12" s="43"/>
      <c r="YW12" s="43"/>
      <c r="YX12" s="43"/>
      <c r="YY12" s="43"/>
      <c r="YZ12" s="43"/>
      <c r="ZA12" s="43"/>
      <c r="ZB12" s="43"/>
      <c r="ZC12" s="43"/>
      <c r="ZD12" s="43"/>
      <c r="ZE12" s="43"/>
      <c r="ZF12" s="43"/>
      <c r="ZG12" s="43"/>
      <c r="ZH12" s="43"/>
      <c r="ZI12" s="43"/>
      <c r="ZJ12" s="43"/>
      <c r="ZK12" s="43"/>
      <c r="ZL12" s="43"/>
      <c r="ZM12" s="43"/>
      <c r="ZN12" s="43"/>
      <c r="ZO12" s="43"/>
      <c r="ZP12" s="43"/>
      <c r="ZQ12" s="43"/>
      <c r="ZR12" s="43"/>
      <c r="ZS12" s="43"/>
      <c r="ZT12" s="43"/>
      <c r="ZU12" s="43"/>
      <c r="ZV12" s="43"/>
      <c r="ZW12" s="43"/>
      <c r="ZX12" s="43"/>
      <c r="ZY12" s="43"/>
      <c r="ZZ12" s="43"/>
      <c r="AAA12" s="43"/>
      <c r="AAB12" s="43"/>
      <c r="AAC12" s="43"/>
      <c r="AAD12" s="43"/>
      <c r="AAE12" s="43"/>
      <c r="AAF12" s="43"/>
      <c r="AAG12" s="43"/>
      <c r="AAH12" s="43"/>
      <c r="AAI12" s="43"/>
      <c r="AAJ12" s="43"/>
      <c r="AAK12" s="43"/>
      <c r="AAL12" s="43"/>
      <c r="AAM12" s="43"/>
      <c r="AAN12" s="43"/>
      <c r="AAO12" s="43"/>
      <c r="AAP12" s="43"/>
      <c r="AAQ12" s="43"/>
      <c r="AAR12" s="43"/>
      <c r="AAS12" s="43"/>
      <c r="AAT12" s="43"/>
      <c r="AAU12" s="43"/>
      <c r="AAV12" s="43"/>
      <c r="AAW12" s="43"/>
      <c r="AAX12" s="43"/>
      <c r="AAY12" s="43"/>
      <c r="AAZ12" s="43"/>
      <c r="ABA12" s="43"/>
      <c r="ABB12" s="43"/>
      <c r="ABC12" s="43"/>
      <c r="ABD12" s="43"/>
      <c r="ABE12" s="43"/>
      <c r="ABF12" s="43"/>
      <c r="ABG12" s="43"/>
      <c r="ABH12" s="43"/>
      <c r="ABI12" s="43"/>
      <c r="ABJ12" s="43"/>
      <c r="ABK12" s="43"/>
      <c r="ABL12" s="43"/>
      <c r="ABM12" s="43"/>
      <c r="ABN12" s="43"/>
      <c r="ABO12" s="43"/>
      <c r="ABP12" s="43"/>
      <c r="ABQ12" s="43"/>
      <c r="ABR12" s="43"/>
      <c r="ABS12" s="43"/>
      <c r="ABT12" s="43"/>
      <c r="ABU12" s="43"/>
      <c r="ABV12" s="43"/>
      <c r="ABW12" s="43"/>
      <c r="ABX12" s="43"/>
      <c r="ABY12" s="43"/>
      <c r="ABZ12" s="43"/>
      <c r="ACA12" s="43"/>
      <c r="ACB12" s="43"/>
      <c r="ACC12" s="43"/>
      <c r="ACD12" s="43"/>
      <c r="ACE12" s="43"/>
      <c r="ACF12" s="43"/>
      <c r="ACG12" s="43"/>
      <c r="ACH12" s="43"/>
      <c r="ACI12" s="43"/>
      <c r="ACJ12" s="43"/>
      <c r="ACK12" s="43"/>
      <c r="ACL12" s="43"/>
      <c r="ACM12" s="43"/>
      <c r="ACN12" s="43"/>
      <c r="ACO12" s="43"/>
      <c r="ACP12" s="43"/>
      <c r="ACQ12" s="43"/>
      <c r="ACR12" s="43"/>
      <c r="ACS12" s="43"/>
      <c r="ACT12" s="43"/>
      <c r="ACU12" s="43"/>
      <c r="ACV12" s="43"/>
      <c r="ACW12" s="43"/>
      <c r="ACX12" s="43"/>
      <c r="ACY12" s="43"/>
      <c r="ACZ12" s="43"/>
      <c r="ADA12" s="43"/>
      <c r="ADB12" s="43"/>
      <c r="ADC12" s="43"/>
      <c r="ADD12" s="43"/>
      <c r="ADE12" s="43"/>
      <c r="ADF12" s="43"/>
      <c r="ADG12" s="43"/>
      <c r="ADH12" s="43"/>
      <c r="ADI12" s="43"/>
      <c r="ADJ12" s="43"/>
      <c r="ADK12" s="43"/>
      <c r="ADL12" s="43"/>
      <c r="ADM12" s="43"/>
      <c r="ADN12" s="43"/>
      <c r="ADO12" s="43"/>
      <c r="ADP12" s="43"/>
      <c r="ADQ12" s="43"/>
      <c r="ADR12" s="43"/>
      <c r="ADS12" s="43"/>
      <c r="ADT12" s="43"/>
      <c r="ADU12" s="43"/>
      <c r="ADV12" s="43"/>
      <c r="ADW12" s="43"/>
      <c r="ADX12" s="43"/>
      <c r="ADY12" s="43"/>
      <c r="ADZ12" s="43"/>
      <c r="AEA12" s="43"/>
      <c r="AEB12" s="43"/>
      <c r="AEC12" s="43"/>
      <c r="AED12" s="43"/>
      <c r="AEE12" s="43"/>
      <c r="AEF12" s="43"/>
      <c r="AEG12" s="43"/>
      <c r="AEH12" s="43"/>
      <c r="AEI12" s="43"/>
      <c r="AEJ12" s="43"/>
      <c r="AEK12" s="43"/>
      <c r="AEL12" s="43"/>
      <c r="AEM12" s="43"/>
      <c r="AEN12" s="43"/>
      <c r="AEO12" s="43"/>
      <c r="AEP12" s="43"/>
      <c r="AEQ12" s="43"/>
      <c r="AER12" s="43"/>
      <c r="AES12" s="43"/>
      <c r="AET12" s="43"/>
      <c r="AEU12" s="43"/>
      <c r="AEV12" s="43"/>
      <c r="AEW12" s="43"/>
      <c r="AEX12" s="43"/>
      <c r="AEY12" s="43"/>
      <c r="AEZ12" s="43"/>
      <c r="AFA12" s="43"/>
      <c r="AFB12" s="43"/>
      <c r="AFC12" s="43"/>
      <c r="AFD12" s="43"/>
      <c r="AFE12" s="43"/>
      <c r="AFF12" s="43"/>
      <c r="AFG12" s="43"/>
      <c r="AFH12" s="43"/>
      <c r="AFI12" s="43"/>
      <c r="AFJ12" s="43"/>
      <c r="AFK12" s="43"/>
      <c r="AFL12" s="43"/>
      <c r="AFM12" s="43"/>
      <c r="AFN12" s="43"/>
      <c r="AFO12" s="43"/>
      <c r="AFP12" s="43"/>
      <c r="AFQ12" s="43"/>
      <c r="AFR12" s="43"/>
      <c r="AFS12" s="43"/>
      <c r="AFT12" s="43"/>
      <c r="AFU12" s="43"/>
      <c r="AFV12" s="43"/>
      <c r="AFW12" s="43"/>
      <c r="AFX12" s="43"/>
      <c r="AFY12" s="43"/>
      <c r="AFZ12" s="43"/>
      <c r="AGA12" s="43"/>
      <c r="AGB12" s="43"/>
      <c r="AGC12" s="43"/>
      <c r="AGD12" s="43"/>
      <c r="AGE12" s="43"/>
      <c r="AGF12" s="43"/>
      <c r="AGG12" s="43"/>
      <c r="AGH12" s="43"/>
      <c r="AGI12" s="43"/>
      <c r="AGJ12" s="43"/>
      <c r="AGK12" s="43"/>
      <c r="AGL12" s="43"/>
      <c r="AGM12" s="43"/>
      <c r="AGN12" s="43"/>
      <c r="AGO12" s="43"/>
      <c r="AGP12" s="43"/>
      <c r="AGQ12" s="43"/>
      <c r="AGR12" s="43"/>
      <c r="AGS12" s="43"/>
      <c r="AGT12" s="43"/>
      <c r="AGU12" s="43"/>
      <c r="AGV12" s="43"/>
      <c r="AGW12" s="43"/>
      <c r="AGX12" s="43"/>
      <c r="AGY12" s="43"/>
      <c r="AGZ12" s="43"/>
      <c r="AHA12" s="43"/>
      <c r="AHB12" s="43"/>
      <c r="AHC12" s="43"/>
      <c r="AHD12" s="43"/>
      <c r="AHE12" s="43"/>
      <c r="AHF12" s="43"/>
      <c r="AHG12" s="43"/>
      <c r="AHH12" s="43"/>
      <c r="AHI12" s="43"/>
      <c r="AHJ12" s="43"/>
      <c r="AHK12" s="43"/>
      <c r="AHL12" s="43"/>
      <c r="AHM12" s="43"/>
      <c r="AHN12" s="43"/>
      <c r="AHO12" s="43"/>
      <c r="AHP12" s="43"/>
      <c r="AHQ12" s="43"/>
      <c r="AHR12" s="43"/>
      <c r="AHS12" s="43"/>
      <c r="AHT12" s="43"/>
      <c r="AHU12" s="43"/>
      <c r="AHV12" s="43"/>
      <c r="AHW12" s="43"/>
      <c r="AHX12" s="43"/>
      <c r="AHY12" s="43"/>
      <c r="AHZ12" s="43"/>
      <c r="AIA12" s="43"/>
      <c r="AIB12" s="43"/>
      <c r="AIC12" s="43"/>
      <c r="AID12" s="43"/>
      <c r="AIE12" s="43"/>
      <c r="AIF12" s="43"/>
      <c r="AIG12" s="43"/>
      <c r="AIH12" s="43"/>
      <c r="AII12" s="43"/>
      <c r="AIJ12" s="43"/>
      <c r="AIK12" s="43"/>
      <c r="AIL12" s="43"/>
      <c r="AIM12" s="43"/>
      <c r="AIN12" s="43"/>
      <c r="AIO12" s="43"/>
      <c r="AIP12" s="43"/>
      <c r="AIQ12" s="43"/>
      <c r="AIR12" s="43"/>
      <c r="AIS12" s="43"/>
      <c r="AIT12" s="43"/>
      <c r="AIU12" s="43"/>
      <c r="AIV12" s="43"/>
      <c r="AIW12" s="43"/>
      <c r="AIX12" s="43"/>
      <c r="AIY12" s="43"/>
      <c r="AIZ12" s="43"/>
      <c r="AJA12" s="43"/>
      <c r="AJB12" s="43"/>
      <c r="AJC12" s="43"/>
      <c r="AJD12" s="43"/>
      <c r="AJE12" s="43"/>
      <c r="AJF12" s="43"/>
      <c r="AJG12" s="43"/>
      <c r="AJH12" s="43"/>
      <c r="AJI12" s="43"/>
      <c r="AJJ12" s="43"/>
      <c r="AJK12" s="43"/>
      <c r="AJL12" s="43"/>
      <c r="AJM12" s="43"/>
      <c r="AJN12" s="43"/>
      <c r="AJO12" s="43"/>
      <c r="AJP12" s="43"/>
      <c r="AJQ12" s="43"/>
      <c r="AJR12" s="43"/>
      <c r="AJS12" s="43"/>
      <c r="AJT12" s="43"/>
      <c r="AJU12" s="43"/>
      <c r="AJV12" s="43"/>
      <c r="AJW12" s="43"/>
      <c r="AJX12" s="43"/>
      <c r="AJY12" s="43"/>
      <c r="AJZ12" s="43"/>
      <c r="AKA12" s="43"/>
      <c r="AKB12" s="43"/>
      <c r="AKC12" s="43"/>
      <c r="AKD12" s="43"/>
      <c r="AKE12" s="43"/>
      <c r="AKF12" s="43"/>
      <c r="AKG12" s="43"/>
      <c r="AKH12" s="43"/>
      <c r="AKI12" s="43"/>
      <c r="AKJ12" s="43"/>
      <c r="AKK12" s="43"/>
      <c r="AKL12" s="43"/>
      <c r="AKM12" s="43"/>
      <c r="AKN12" s="43"/>
      <c r="AKO12" s="43"/>
      <c r="AKP12" s="43"/>
      <c r="AKQ12" s="43"/>
      <c r="AKR12" s="43"/>
      <c r="AKS12" s="43"/>
      <c r="AKT12" s="43"/>
      <c r="AKU12" s="43"/>
      <c r="AKV12" s="43"/>
      <c r="AKW12" s="43"/>
      <c r="AKX12" s="43"/>
      <c r="AKY12" s="43"/>
      <c r="AKZ12" s="43"/>
      <c r="ALA12" s="43"/>
      <c r="ALB12" s="43"/>
      <c r="ALC12" s="43"/>
      <c r="ALD12" s="43"/>
      <c r="ALE12" s="43"/>
      <c r="ALF12" s="43"/>
      <c r="ALG12" s="43"/>
      <c r="ALH12" s="43"/>
      <c r="ALI12" s="43"/>
      <c r="ALJ12" s="43"/>
      <c r="ALK12" s="43"/>
      <c r="ALL12" s="43"/>
      <c r="ALM12" s="43"/>
      <c r="ALN12" s="43"/>
      <c r="ALO12" s="43"/>
      <c r="ALP12" s="43"/>
      <c r="ALQ12" s="43"/>
      <c r="ALR12" s="43"/>
      <c r="ALS12" s="43"/>
      <c r="ALT12" s="43"/>
      <c r="ALU12" s="43"/>
      <c r="ALV12" s="43"/>
      <c r="ALW12" s="43"/>
      <c r="ALX12" s="43"/>
      <c r="ALY12" s="43"/>
      <c r="ALZ12" s="43"/>
      <c r="AMA12" s="43"/>
      <c r="AMB12" s="43"/>
      <c r="AMC12" s="43"/>
      <c r="AMD12" s="43"/>
      <c r="AME12" s="43"/>
      <c r="AMF12" s="43"/>
      <c r="AMG12" s="43"/>
      <c r="AMH12" s="43"/>
      <c r="AMI12" s="43"/>
    </row>
    <row r="13" spans="1:1024" s="93" customFormat="1" ht="15.75" x14ac:dyDescent="0.25">
      <c r="A13" s="46" t="s">
        <v>80</v>
      </c>
      <c r="B13" s="47">
        <f>'CSGYK ktgvetési mérleg'!F12</f>
        <v>180188403</v>
      </c>
      <c r="C13" s="47">
        <f>'CSGYK ktgvetési mérleg'!F13</f>
        <v>35290596</v>
      </c>
      <c r="D13" s="47">
        <f>'CSGYK ktgvetési mérleg'!F14</f>
        <v>30189415</v>
      </c>
      <c r="E13" s="47">
        <f>'CSGYK ktgvetési mérleg'!F15</f>
        <v>363530</v>
      </c>
      <c r="F13" s="47">
        <v>0</v>
      </c>
      <c r="G13" s="47">
        <f>'CSGYK ktgvetési mérleg'!F18</f>
        <v>186742</v>
      </c>
      <c r="H13" s="47">
        <f>SUM(B13:G13)</f>
        <v>246218686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</row>
    <row r="14" spans="1:1024" s="93" customFormat="1" ht="15.75" x14ac:dyDescent="0.25">
      <c r="A14" s="46" t="s">
        <v>7</v>
      </c>
      <c r="B14" s="47">
        <f>'Társulás ktgvetési mérleg'!F12</f>
        <v>925636</v>
      </c>
      <c r="C14" s="47">
        <f>'Társulás ktgvetési mérleg'!F13</f>
        <v>256628</v>
      </c>
      <c r="D14" s="47">
        <f>'Társulás ktgvetési mérleg'!F14</f>
        <v>53831751</v>
      </c>
      <c r="E14" s="47">
        <v>0</v>
      </c>
      <c r="F14" s="47">
        <f>'Társulás ktgvetési mérleg'!F21</f>
        <v>0</v>
      </c>
      <c r="G14" s="47">
        <f>'Társulás ktgvetési mérleg'!F15</f>
        <v>12329821</v>
      </c>
      <c r="H14" s="47">
        <f>SUM(B14:G14)</f>
        <v>67343836</v>
      </c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  <c r="IX14" s="43"/>
      <c r="IY14" s="43"/>
      <c r="IZ14" s="43"/>
      <c r="JA14" s="43"/>
      <c r="JB14" s="43"/>
      <c r="JC14" s="43"/>
      <c r="JD14" s="43"/>
      <c r="JE14" s="43"/>
      <c r="JF14" s="43"/>
      <c r="JG14" s="43"/>
      <c r="JH14" s="43"/>
      <c r="JI14" s="43"/>
      <c r="JJ14" s="43"/>
      <c r="JK14" s="43"/>
      <c r="JL14" s="43"/>
      <c r="JM14" s="43"/>
      <c r="JN14" s="43"/>
      <c r="JO14" s="43"/>
      <c r="JP14" s="43"/>
      <c r="JQ14" s="43"/>
      <c r="JR14" s="43"/>
      <c r="JS14" s="43"/>
      <c r="JT14" s="43"/>
      <c r="JU14" s="43"/>
      <c r="JV14" s="43"/>
      <c r="JW14" s="43"/>
      <c r="JX14" s="43"/>
      <c r="JY14" s="43"/>
      <c r="JZ14" s="43"/>
      <c r="KA14" s="43"/>
      <c r="KB14" s="43"/>
      <c r="KC14" s="43"/>
      <c r="KD14" s="43"/>
      <c r="KE14" s="43"/>
      <c r="KF14" s="43"/>
      <c r="KG14" s="43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  <c r="ZQ14" s="43"/>
      <c r="ZR14" s="43"/>
      <c r="ZS14" s="43"/>
      <c r="ZT14" s="43"/>
      <c r="ZU14" s="43"/>
      <c r="ZV14" s="43"/>
      <c r="ZW14" s="43"/>
      <c r="ZX14" s="43"/>
      <c r="ZY14" s="43"/>
      <c r="ZZ14" s="43"/>
      <c r="AAA14" s="43"/>
      <c r="AAB14" s="43"/>
      <c r="AAC14" s="43"/>
      <c r="AAD14" s="43"/>
      <c r="AAE14" s="43"/>
      <c r="AAF14" s="43"/>
      <c r="AAG14" s="43"/>
      <c r="AAH14" s="43"/>
      <c r="AAI14" s="43"/>
      <c r="AAJ14" s="43"/>
      <c r="AAK14" s="43"/>
      <c r="AAL14" s="43"/>
      <c r="AAM14" s="43"/>
      <c r="AAN14" s="43"/>
      <c r="AAO14" s="43"/>
      <c r="AAP14" s="43"/>
      <c r="AAQ14" s="43"/>
      <c r="AAR14" s="43"/>
      <c r="AAS14" s="43"/>
      <c r="AAT14" s="43"/>
      <c r="AAU14" s="43"/>
      <c r="AAV14" s="43"/>
      <c r="AAW14" s="43"/>
      <c r="AAX14" s="43"/>
      <c r="AAY14" s="43"/>
      <c r="AAZ14" s="43"/>
      <c r="ABA14" s="43"/>
      <c r="ABB14" s="43"/>
      <c r="ABC14" s="43"/>
      <c r="ABD14" s="43"/>
      <c r="ABE14" s="43"/>
      <c r="ABF14" s="43"/>
      <c r="ABG14" s="43"/>
      <c r="ABH14" s="43"/>
      <c r="ABI14" s="43"/>
      <c r="ABJ14" s="43"/>
      <c r="ABK14" s="43"/>
      <c r="ABL14" s="43"/>
      <c r="ABM14" s="43"/>
      <c r="ABN14" s="43"/>
      <c r="ABO14" s="43"/>
      <c r="ABP14" s="43"/>
      <c r="ABQ14" s="43"/>
      <c r="ABR14" s="43"/>
      <c r="ABS14" s="43"/>
      <c r="ABT14" s="43"/>
      <c r="ABU14" s="43"/>
      <c r="ABV14" s="43"/>
      <c r="ABW14" s="43"/>
      <c r="ABX14" s="43"/>
      <c r="ABY14" s="43"/>
      <c r="ABZ14" s="43"/>
      <c r="ACA14" s="43"/>
      <c r="ACB14" s="43"/>
      <c r="ACC14" s="43"/>
      <c r="ACD14" s="43"/>
      <c r="ACE14" s="43"/>
      <c r="ACF14" s="43"/>
      <c r="ACG14" s="43"/>
      <c r="ACH14" s="43"/>
      <c r="ACI14" s="43"/>
      <c r="ACJ14" s="43"/>
      <c r="ACK14" s="43"/>
      <c r="ACL14" s="43"/>
      <c r="ACM14" s="43"/>
      <c r="ACN14" s="43"/>
      <c r="ACO14" s="43"/>
      <c r="ACP14" s="43"/>
      <c r="ACQ14" s="43"/>
      <c r="ACR14" s="43"/>
      <c r="ACS14" s="43"/>
      <c r="ACT14" s="43"/>
      <c r="ACU14" s="43"/>
      <c r="ACV14" s="43"/>
      <c r="ACW14" s="43"/>
      <c r="ACX14" s="43"/>
      <c r="ACY14" s="43"/>
      <c r="ACZ14" s="43"/>
      <c r="ADA14" s="43"/>
      <c r="ADB14" s="43"/>
      <c r="ADC14" s="43"/>
      <c r="ADD14" s="43"/>
      <c r="ADE14" s="43"/>
      <c r="ADF14" s="43"/>
      <c r="ADG14" s="43"/>
      <c r="ADH14" s="43"/>
      <c r="ADI14" s="43"/>
      <c r="ADJ14" s="43"/>
      <c r="ADK14" s="43"/>
      <c r="ADL14" s="43"/>
      <c r="ADM14" s="43"/>
      <c r="ADN14" s="43"/>
      <c r="ADO14" s="43"/>
      <c r="ADP14" s="43"/>
      <c r="ADQ14" s="43"/>
      <c r="ADR14" s="43"/>
      <c r="ADS14" s="43"/>
      <c r="ADT14" s="43"/>
      <c r="ADU14" s="43"/>
      <c r="ADV14" s="43"/>
      <c r="ADW14" s="43"/>
      <c r="ADX14" s="43"/>
      <c r="ADY14" s="43"/>
      <c r="ADZ14" s="43"/>
      <c r="AEA14" s="43"/>
      <c r="AEB14" s="43"/>
      <c r="AEC14" s="43"/>
      <c r="AED14" s="43"/>
      <c r="AEE14" s="43"/>
      <c r="AEF14" s="43"/>
      <c r="AEG14" s="43"/>
      <c r="AEH14" s="43"/>
      <c r="AEI14" s="43"/>
      <c r="AEJ14" s="43"/>
      <c r="AEK14" s="43"/>
      <c r="AEL14" s="43"/>
      <c r="AEM14" s="43"/>
      <c r="AEN14" s="43"/>
      <c r="AEO14" s="43"/>
      <c r="AEP14" s="43"/>
      <c r="AEQ14" s="43"/>
      <c r="AER14" s="43"/>
      <c r="AES14" s="43"/>
      <c r="AET14" s="43"/>
      <c r="AEU14" s="43"/>
      <c r="AEV14" s="43"/>
      <c r="AEW14" s="43"/>
      <c r="AEX14" s="43"/>
      <c r="AEY14" s="43"/>
      <c r="AEZ14" s="43"/>
      <c r="AFA14" s="43"/>
      <c r="AFB14" s="43"/>
      <c r="AFC14" s="43"/>
      <c r="AFD14" s="43"/>
      <c r="AFE14" s="43"/>
      <c r="AFF14" s="43"/>
      <c r="AFG14" s="43"/>
      <c r="AFH14" s="43"/>
      <c r="AFI14" s="43"/>
      <c r="AFJ14" s="43"/>
      <c r="AFK14" s="43"/>
      <c r="AFL14" s="43"/>
      <c r="AFM14" s="43"/>
      <c r="AFN14" s="43"/>
      <c r="AFO14" s="43"/>
      <c r="AFP14" s="43"/>
      <c r="AFQ14" s="43"/>
      <c r="AFR14" s="43"/>
      <c r="AFS14" s="43"/>
      <c r="AFT14" s="43"/>
      <c r="AFU14" s="43"/>
      <c r="AFV14" s="43"/>
      <c r="AFW14" s="43"/>
      <c r="AFX14" s="43"/>
      <c r="AFY14" s="43"/>
      <c r="AFZ14" s="43"/>
      <c r="AGA14" s="43"/>
      <c r="AGB14" s="43"/>
      <c r="AGC14" s="43"/>
      <c r="AGD14" s="43"/>
      <c r="AGE14" s="43"/>
      <c r="AGF14" s="43"/>
      <c r="AGG14" s="43"/>
      <c r="AGH14" s="43"/>
      <c r="AGI14" s="43"/>
      <c r="AGJ14" s="43"/>
      <c r="AGK14" s="43"/>
      <c r="AGL14" s="43"/>
      <c r="AGM14" s="43"/>
      <c r="AGN14" s="43"/>
      <c r="AGO14" s="43"/>
      <c r="AGP14" s="43"/>
      <c r="AGQ14" s="43"/>
      <c r="AGR14" s="43"/>
      <c r="AGS14" s="43"/>
      <c r="AGT14" s="43"/>
      <c r="AGU14" s="43"/>
      <c r="AGV14" s="43"/>
      <c r="AGW14" s="43"/>
      <c r="AGX14" s="43"/>
      <c r="AGY14" s="43"/>
      <c r="AGZ14" s="43"/>
      <c r="AHA14" s="43"/>
      <c r="AHB14" s="43"/>
      <c r="AHC14" s="43"/>
      <c r="AHD14" s="43"/>
      <c r="AHE14" s="43"/>
      <c r="AHF14" s="43"/>
      <c r="AHG14" s="43"/>
      <c r="AHH14" s="43"/>
      <c r="AHI14" s="43"/>
      <c r="AHJ14" s="43"/>
      <c r="AHK14" s="43"/>
      <c r="AHL14" s="43"/>
      <c r="AHM14" s="43"/>
      <c r="AHN14" s="43"/>
      <c r="AHO14" s="43"/>
      <c r="AHP14" s="43"/>
      <c r="AHQ14" s="43"/>
      <c r="AHR14" s="43"/>
      <c r="AHS14" s="43"/>
      <c r="AHT14" s="43"/>
      <c r="AHU14" s="43"/>
      <c r="AHV14" s="43"/>
      <c r="AHW14" s="43"/>
      <c r="AHX14" s="43"/>
      <c r="AHY14" s="43"/>
      <c r="AHZ14" s="43"/>
      <c r="AIA14" s="43"/>
      <c r="AIB14" s="43"/>
      <c r="AIC14" s="43"/>
      <c r="AID14" s="43"/>
      <c r="AIE14" s="43"/>
      <c r="AIF14" s="43"/>
      <c r="AIG14" s="43"/>
      <c r="AIH14" s="43"/>
      <c r="AII14" s="43"/>
      <c r="AIJ14" s="43"/>
      <c r="AIK14" s="43"/>
      <c r="AIL14" s="43"/>
      <c r="AIM14" s="43"/>
      <c r="AIN14" s="43"/>
      <c r="AIO14" s="43"/>
      <c r="AIP14" s="43"/>
      <c r="AIQ14" s="43"/>
      <c r="AIR14" s="43"/>
      <c r="AIS14" s="43"/>
      <c r="AIT14" s="43"/>
      <c r="AIU14" s="43"/>
      <c r="AIV14" s="43"/>
      <c r="AIW14" s="43"/>
      <c r="AIX14" s="43"/>
      <c r="AIY14" s="43"/>
      <c r="AIZ14" s="43"/>
      <c r="AJA14" s="43"/>
      <c r="AJB14" s="43"/>
      <c r="AJC14" s="43"/>
      <c r="AJD14" s="43"/>
      <c r="AJE14" s="43"/>
      <c r="AJF14" s="43"/>
      <c r="AJG14" s="43"/>
      <c r="AJH14" s="43"/>
      <c r="AJI14" s="43"/>
      <c r="AJJ14" s="43"/>
      <c r="AJK14" s="43"/>
      <c r="AJL14" s="43"/>
      <c r="AJM14" s="43"/>
      <c r="AJN14" s="43"/>
      <c r="AJO14" s="43"/>
      <c r="AJP14" s="43"/>
      <c r="AJQ14" s="43"/>
      <c r="AJR14" s="43"/>
      <c r="AJS14" s="43"/>
      <c r="AJT14" s="43"/>
      <c r="AJU14" s="43"/>
      <c r="AJV14" s="43"/>
      <c r="AJW14" s="43"/>
      <c r="AJX14" s="43"/>
      <c r="AJY14" s="43"/>
      <c r="AJZ14" s="43"/>
      <c r="AKA14" s="43"/>
      <c r="AKB14" s="43"/>
      <c r="AKC14" s="43"/>
      <c r="AKD14" s="43"/>
      <c r="AKE14" s="43"/>
      <c r="AKF14" s="43"/>
      <c r="AKG14" s="43"/>
      <c r="AKH14" s="43"/>
      <c r="AKI14" s="43"/>
      <c r="AKJ14" s="43"/>
      <c r="AKK14" s="43"/>
      <c r="AKL14" s="43"/>
      <c r="AKM14" s="43"/>
      <c r="AKN14" s="43"/>
      <c r="AKO14" s="43"/>
      <c r="AKP14" s="43"/>
      <c r="AKQ14" s="43"/>
      <c r="AKR14" s="43"/>
      <c r="AKS14" s="43"/>
      <c r="AKT14" s="43"/>
      <c r="AKU14" s="43"/>
      <c r="AKV14" s="43"/>
      <c r="AKW14" s="43"/>
      <c r="AKX14" s="43"/>
      <c r="AKY14" s="43"/>
      <c r="AKZ14" s="43"/>
      <c r="ALA14" s="43"/>
      <c r="ALB14" s="43"/>
      <c r="ALC14" s="43"/>
      <c r="ALD14" s="43"/>
      <c r="ALE14" s="43"/>
      <c r="ALF14" s="43"/>
      <c r="ALG14" s="43"/>
      <c r="ALH14" s="43"/>
      <c r="ALI14" s="43"/>
      <c r="ALJ14" s="43"/>
      <c r="ALK14" s="43"/>
      <c r="ALL14" s="43"/>
      <c r="ALM14" s="43"/>
      <c r="ALN14" s="43"/>
      <c r="ALO14" s="43"/>
      <c r="ALP14" s="43"/>
      <c r="ALQ14" s="43"/>
      <c r="ALR14" s="43"/>
      <c r="ALS14" s="43"/>
      <c r="ALT14" s="43"/>
      <c r="ALU14" s="43"/>
      <c r="ALV14" s="43"/>
      <c r="ALW14" s="43"/>
      <c r="ALX14" s="43"/>
      <c r="ALY14" s="43"/>
      <c r="ALZ14" s="43"/>
      <c r="AMA14" s="43"/>
      <c r="AMB14" s="43"/>
      <c r="AMC14" s="43"/>
      <c r="AMD14" s="43"/>
      <c r="AME14" s="43"/>
      <c r="AMF14" s="43"/>
      <c r="AMG14" s="43"/>
      <c r="AMH14" s="43"/>
      <c r="AMI14" s="43"/>
    </row>
    <row r="15" spans="1:1024" s="93" customFormat="1" x14ac:dyDescent="0.25">
      <c r="A15" s="48" t="s">
        <v>58</v>
      </c>
      <c r="B15" s="49">
        <f t="shared" ref="B15:H15" si="0">SUM(B12:B14)</f>
        <v>623692239</v>
      </c>
      <c r="C15" s="49">
        <f t="shared" si="0"/>
        <v>119694565</v>
      </c>
      <c r="D15" s="49">
        <f t="shared" si="0"/>
        <v>333287811</v>
      </c>
      <c r="E15" s="49">
        <f t="shared" si="0"/>
        <v>1086550</v>
      </c>
      <c r="F15" s="49">
        <f t="shared" si="0"/>
        <v>0</v>
      </c>
      <c r="G15" s="49">
        <f t="shared" si="0"/>
        <v>20209642</v>
      </c>
      <c r="H15" s="49">
        <f t="shared" si="0"/>
        <v>1097970807</v>
      </c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  <c r="IX15" s="43"/>
      <c r="IY15" s="43"/>
      <c r="IZ15" s="43"/>
      <c r="JA15" s="43"/>
      <c r="JB15" s="43"/>
      <c r="JC15" s="43"/>
      <c r="JD15" s="43"/>
      <c r="JE15" s="43"/>
      <c r="JF15" s="43"/>
      <c r="JG15" s="43"/>
      <c r="JH15" s="43"/>
      <c r="JI15" s="43"/>
      <c r="JJ15" s="43"/>
      <c r="JK15" s="43"/>
      <c r="JL15" s="43"/>
      <c r="JM15" s="43"/>
      <c r="JN15" s="43"/>
      <c r="JO15" s="43"/>
      <c r="JP15" s="43"/>
      <c r="JQ15" s="43"/>
      <c r="JR15" s="43"/>
      <c r="JS15" s="43"/>
      <c r="JT15" s="43"/>
      <c r="JU15" s="43"/>
      <c r="JV15" s="43"/>
      <c r="JW15" s="43"/>
      <c r="JX15" s="43"/>
      <c r="JY15" s="43"/>
      <c r="JZ15" s="43"/>
      <c r="KA15" s="43"/>
      <c r="KB15" s="43"/>
      <c r="KC15" s="43"/>
      <c r="KD15" s="43"/>
      <c r="KE15" s="43"/>
      <c r="KF15" s="43"/>
      <c r="KG15" s="43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  <c r="ZQ15" s="43"/>
      <c r="ZR15" s="43"/>
      <c r="ZS15" s="43"/>
      <c r="ZT15" s="43"/>
      <c r="ZU15" s="43"/>
      <c r="ZV15" s="43"/>
      <c r="ZW15" s="43"/>
      <c r="ZX15" s="43"/>
      <c r="ZY15" s="43"/>
      <c r="ZZ15" s="43"/>
      <c r="AAA15" s="43"/>
      <c r="AAB15" s="43"/>
      <c r="AAC15" s="43"/>
      <c r="AAD15" s="43"/>
      <c r="AAE15" s="43"/>
      <c r="AAF15" s="43"/>
      <c r="AAG15" s="43"/>
      <c r="AAH15" s="43"/>
      <c r="AAI15" s="43"/>
      <c r="AAJ15" s="43"/>
      <c r="AAK15" s="43"/>
      <c r="AAL15" s="43"/>
      <c r="AAM15" s="43"/>
      <c r="AAN15" s="43"/>
      <c r="AAO15" s="43"/>
      <c r="AAP15" s="43"/>
      <c r="AAQ15" s="43"/>
      <c r="AAR15" s="43"/>
      <c r="AAS15" s="43"/>
      <c r="AAT15" s="43"/>
      <c r="AAU15" s="43"/>
      <c r="AAV15" s="43"/>
      <c r="AAW15" s="43"/>
      <c r="AAX15" s="43"/>
      <c r="AAY15" s="43"/>
      <c r="AAZ15" s="43"/>
      <c r="ABA15" s="43"/>
      <c r="ABB15" s="43"/>
      <c r="ABC15" s="43"/>
      <c r="ABD15" s="43"/>
      <c r="ABE15" s="43"/>
      <c r="ABF15" s="43"/>
      <c r="ABG15" s="43"/>
      <c r="ABH15" s="43"/>
      <c r="ABI15" s="43"/>
      <c r="ABJ15" s="43"/>
      <c r="ABK15" s="43"/>
      <c r="ABL15" s="43"/>
      <c r="ABM15" s="43"/>
      <c r="ABN15" s="43"/>
      <c r="ABO15" s="43"/>
      <c r="ABP15" s="43"/>
      <c r="ABQ15" s="43"/>
      <c r="ABR15" s="43"/>
      <c r="ABS15" s="43"/>
      <c r="ABT15" s="43"/>
      <c r="ABU15" s="43"/>
      <c r="ABV15" s="43"/>
      <c r="ABW15" s="43"/>
      <c r="ABX15" s="43"/>
      <c r="ABY15" s="43"/>
      <c r="ABZ15" s="43"/>
      <c r="ACA15" s="43"/>
      <c r="ACB15" s="43"/>
      <c r="ACC15" s="43"/>
      <c r="ACD15" s="43"/>
      <c r="ACE15" s="43"/>
      <c r="ACF15" s="43"/>
      <c r="ACG15" s="43"/>
      <c r="ACH15" s="43"/>
      <c r="ACI15" s="43"/>
      <c r="ACJ15" s="43"/>
      <c r="ACK15" s="43"/>
      <c r="ACL15" s="43"/>
      <c r="ACM15" s="43"/>
      <c r="ACN15" s="43"/>
      <c r="ACO15" s="43"/>
      <c r="ACP15" s="43"/>
      <c r="ACQ15" s="43"/>
      <c r="ACR15" s="43"/>
      <c r="ACS15" s="43"/>
      <c r="ACT15" s="43"/>
      <c r="ACU15" s="43"/>
      <c r="ACV15" s="43"/>
      <c r="ACW15" s="43"/>
      <c r="ACX15" s="43"/>
      <c r="ACY15" s="43"/>
      <c r="ACZ15" s="43"/>
      <c r="ADA15" s="43"/>
      <c r="ADB15" s="43"/>
      <c r="ADC15" s="43"/>
      <c r="ADD15" s="43"/>
      <c r="ADE15" s="43"/>
      <c r="ADF15" s="43"/>
      <c r="ADG15" s="43"/>
      <c r="ADH15" s="43"/>
      <c r="ADI15" s="43"/>
      <c r="ADJ15" s="43"/>
      <c r="ADK15" s="43"/>
      <c r="ADL15" s="43"/>
      <c r="ADM15" s="43"/>
      <c r="ADN15" s="43"/>
      <c r="ADO15" s="43"/>
      <c r="ADP15" s="43"/>
      <c r="ADQ15" s="43"/>
      <c r="ADR15" s="43"/>
      <c r="ADS15" s="43"/>
      <c r="ADT15" s="43"/>
      <c r="ADU15" s="43"/>
      <c r="ADV15" s="43"/>
      <c r="ADW15" s="43"/>
      <c r="ADX15" s="43"/>
      <c r="ADY15" s="43"/>
      <c r="ADZ15" s="43"/>
      <c r="AEA15" s="43"/>
      <c r="AEB15" s="43"/>
      <c r="AEC15" s="43"/>
      <c r="AED15" s="43"/>
      <c r="AEE15" s="43"/>
      <c r="AEF15" s="43"/>
      <c r="AEG15" s="43"/>
      <c r="AEH15" s="43"/>
      <c r="AEI15" s="43"/>
      <c r="AEJ15" s="43"/>
      <c r="AEK15" s="43"/>
      <c r="AEL15" s="43"/>
      <c r="AEM15" s="43"/>
      <c r="AEN15" s="43"/>
      <c r="AEO15" s="43"/>
      <c r="AEP15" s="43"/>
      <c r="AEQ15" s="43"/>
      <c r="AER15" s="43"/>
      <c r="AES15" s="43"/>
      <c r="AET15" s="43"/>
      <c r="AEU15" s="43"/>
      <c r="AEV15" s="43"/>
      <c r="AEW15" s="43"/>
      <c r="AEX15" s="43"/>
      <c r="AEY15" s="43"/>
      <c r="AEZ15" s="43"/>
      <c r="AFA15" s="43"/>
      <c r="AFB15" s="43"/>
      <c r="AFC15" s="43"/>
      <c r="AFD15" s="43"/>
      <c r="AFE15" s="43"/>
      <c r="AFF15" s="43"/>
      <c r="AFG15" s="43"/>
      <c r="AFH15" s="43"/>
      <c r="AFI15" s="43"/>
      <c r="AFJ15" s="43"/>
      <c r="AFK15" s="43"/>
      <c r="AFL15" s="43"/>
      <c r="AFM15" s="43"/>
      <c r="AFN15" s="43"/>
      <c r="AFO15" s="43"/>
      <c r="AFP15" s="43"/>
      <c r="AFQ15" s="43"/>
      <c r="AFR15" s="43"/>
      <c r="AFS15" s="43"/>
      <c r="AFT15" s="43"/>
      <c r="AFU15" s="43"/>
      <c r="AFV15" s="43"/>
      <c r="AFW15" s="43"/>
      <c r="AFX15" s="43"/>
      <c r="AFY15" s="43"/>
      <c r="AFZ15" s="43"/>
      <c r="AGA15" s="43"/>
      <c r="AGB15" s="43"/>
      <c r="AGC15" s="43"/>
      <c r="AGD15" s="43"/>
      <c r="AGE15" s="43"/>
      <c r="AGF15" s="43"/>
      <c r="AGG15" s="43"/>
      <c r="AGH15" s="43"/>
      <c r="AGI15" s="43"/>
      <c r="AGJ15" s="43"/>
      <c r="AGK15" s="43"/>
      <c r="AGL15" s="43"/>
      <c r="AGM15" s="43"/>
      <c r="AGN15" s="43"/>
      <c r="AGO15" s="43"/>
      <c r="AGP15" s="43"/>
      <c r="AGQ15" s="43"/>
      <c r="AGR15" s="43"/>
      <c r="AGS15" s="43"/>
      <c r="AGT15" s="43"/>
      <c r="AGU15" s="43"/>
      <c r="AGV15" s="43"/>
      <c r="AGW15" s="43"/>
      <c r="AGX15" s="43"/>
      <c r="AGY15" s="43"/>
      <c r="AGZ15" s="43"/>
      <c r="AHA15" s="43"/>
      <c r="AHB15" s="43"/>
      <c r="AHC15" s="43"/>
      <c r="AHD15" s="43"/>
      <c r="AHE15" s="43"/>
      <c r="AHF15" s="43"/>
      <c r="AHG15" s="43"/>
      <c r="AHH15" s="43"/>
      <c r="AHI15" s="43"/>
      <c r="AHJ15" s="43"/>
      <c r="AHK15" s="43"/>
      <c r="AHL15" s="43"/>
      <c r="AHM15" s="43"/>
      <c r="AHN15" s="43"/>
      <c r="AHO15" s="43"/>
      <c r="AHP15" s="43"/>
      <c r="AHQ15" s="43"/>
      <c r="AHR15" s="43"/>
      <c r="AHS15" s="43"/>
      <c r="AHT15" s="43"/>
      <c r="AHU15" s="43"/>
      <c r="AHV15" s="43"/>
      <c r="AHW15" s="43"/>
      <c r="AHX15" s="43"/>
      <c r="AHY15" s="43"/>
      <c r="AHZ15" s="43"/>
      <c r="AIA15" s="43"/>
      <c r="AIB15" s="43"/>
      <c r="AIC15" s="43"/>
      <c r="AID15" s="43"/>
      <c r="AIE15" s="43"/>
      <c r="AIF15" s="43"/>
      <c r="AIG15" s="43"/>
      <c r="AIH15" s="43"/>
      <c r="AII15" s="43"/>
      <c r="AIJ15" s="43"/>
      <c r="AIK15" s="43"/>
      <c r="AIL15" s="43"/>
      <c r="AIM15" s="43"/>
      <c r="AIN15" s="43"/>
      <c r="AIO15" s="43"/>
      <c r="AIP15" s="43"/>
      <c r="AIQ15" s="43"/>
      <c r="AIR15" s="43"/>
      <c r="AIS15" s="43"/>
      <c r="AIT15" s="43"/>
      <c r="AIU15" s="43"/>
      <c r="AIV15" s="43"/>
      <c r="AIW15" s="43"/>
      <c r="AIX15" s="43"/>
      <c r="AIY15" s="43"/>
      <c r="AIZ15" s="43"/>
      <c r="AJA15" s="43"/>
      <c r="AJB15" s="43"/>
      <c r="AJC15" s="43"/>
      <c r="AJD15" s="43"/>
      <c r="AJE15" s="43"/>
      <c r="AJF15" s="43"/>
      <c r="AJG15" s="43"/>
      <c r="AJH15" s="43"/>
      <c r="AJI15" s="43"/>
      <c r="AJJ15" s="43"/>
      <c r="AJK15" s="43"/>
      <c r="AJL15" s="43"/>
      <c r="AJM15" s="43"/>
      <c r="AJN15" s="43"/>
      <c r="AJO15" s="43"/>
      <c r="AJP15" s="43"/>
      <c r="AJQ15" s="43"/>
      <c r="AJR15" s="43"/>
      <c r="AJS15" s="43"/>
      <c r="AJT15" s="43"/>
      <c r="AJU15" s="43"/>
      <c r="AJV15" s="43"/>
      <c r="AJW15" s="43"/>
      <c r="AJX15" s="43"/>
      <c r="AJY15" s="43"/>
      <c r="AJZ15" s="43"/>
      <c r="AKA15" s="43"/>
      <c r="AKB15" s="43"/>
      <c r="AKC15" s="43"/>
      <c r="AKD15" s="43"/>
      <c r="AKE15" s="43"/>
      <c r="AKF15" s="43"/>
      <c r="AKG15" s="43"/>
      <c r="AKH15" s="43"/>
      <c r="AKI15" s="43"/>
      <c r="AKJ15" s="43"/>
      <c r="AKK15" s="43"/>
      <c r="AKL15" s="43"/>
      <c r="AKM15" s="43"/>
      <c r="AKN15" s="43"/>
      <c r="AKO15" s="43"/>
      <c r="AKP15" s="43"/>
      <c r="AKQ15" s="43"/>
      <c r="AKR15" s="43"/>
      <c r="AKS15" s="43"/>
      <c r="AKT15" s="43"/>
      <c r="AKU15" s="43"/>
      <c r="AKV15" s="43"/>
      <c r="AKW15" s="43"/>
      <c r="AKX15" s="43"/>
      <c r="AKY15" s="43"/>
      <c r="AKZ15" s="43"/>
      <c r="ALA15" s="43"/>
      <c r="ALB15" s="43"/>
      <c r="ALC15" s="43"/>
      <c r="ALD15" s="43"/>
      <c r="ALE15" s="43"/>
      <c r="ALF15" s="43"/>
      <c r="ALG15" s="43"/>
      <c r="ALH15" s="43"/>
      <c r="ALI15" s="43"/>
      <c r="ALJ15" s="43"/>
      <c r="ALK15" s="43"/>
      <c r="ALL15" s="43"/>
      <c r="ALM15" s="43"/>
      <c r="ALN15" s="43"/>
      <c r="ALO15" s="43"/>
      <c r="ALP15" s="43"/>
      <c r="ALQ15" s="43"/>
      <c r="ALR15" s="43"/>
      <c r="ALS15" s="43"/>
      <c r="ALT15" s="43"/>
      <c r="ALU15" s="43"/>
      <c r="ALV15" s="43"/>
      <c r="ALW15" s="43"/>
      <c r="ALX15" s="43"/>
      <c r="ALY15" s="43"/>
      <c r="ALZ15" s="43"/>
      <c r="AMA15" s="43"/>
      <c r="AMB15" s="43"/>
      <c r="AMC15" s="43"/>
      <c r="AMD15" s="43"/>
      <c r="AME15" s="43"/>
      <c r="AMF15" s="43"/>
      <c r="AMG15" s="43"/>
      <c r="AMH15" s="43"/>
      <c r="AMI15" s="43"/>
    </row>
    <row r="16" spans="1:1024" s="35" customFormat="1" x14ac:dyDescent="0.25">
      <c r="A16" s="67"/>
      <c r="B16" s="68"/>
      <c r="C16" s="68"/>
      <c r="D16" s="68"/>
      <c r="E16" s="68"/>
      <c r="F16" s="68"/>
      <c r="G16" s="68"/>
      <c r="H16" s="68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R16" s="43"/>
      <c r="TS16" s="43"/>
      <c r="TT16" s="43"/>
      <c r="TU16" s="43"/>
      <c r="TV16" s="43"/>
      <c r="TW16" s="43"/>
      <c r="TX16" s="43"/>
      <c r="TY16" s="43"/>
      <c r="TZ16" s="43"/>
      <c r="UA16" s="43"/>
      <c r="UB16" s="43"/>
      <c r="UC16" s="43"/>
      <c r="UD16" s="43"/>
      <c r="UE16" s="43"/>
      <c r="UF16" s="43"/>
      <c r="UG16" s="43"/>
      <c r="UH16" s="43"/>
      <c r="UI16" s="43"/>
      <c r="UJ16" s="43"/>
      <c r="UK16" s="43"/>
      <c r="UL16" s="43"/>
      <c r="UM16" s="43"/>
      <c r="UN16" s="43"/>
      <c r="UO16" s="43"/>
      <c r="UP16" s="43"/>
      <c r="UQ16" s="43"/>
      <c r="UR16" s="43"/>
      <c r="US16" s="43"/>
      <c r="UT16" s="43"/>
      <c r="UU16" s="43"/>
      <c r="UV16" s="43"/>
      <c r="UW16" s="43"/>
      <c r="UX16" s="43"/>
      <c r="UY16" s="43"/>
      <c r="UZ16" s="43"/>
      <c r="VA16" s="43"/>
      <c r="VB16" s="43"/>
      <c r="VC16" s="43"/>
      <c r="VD16" s="43"/>
      <c r="VE16" s="43"/>
      <c r="VF16" s="43"/>
      <c r="VG16" s="43"/>
      <c r="VH16" s="43"/>
      <c r="VI16" s="43"/>
      <c r="VJ16" s="43"/>
      <c r="VK16" s="43"/>
      <c r="VL16" s="43"/>
      <c r="VM16" s="43"/>
      <c r="VN16" s="43"/>
      <c r="VO16" s="43"/>
      <c r="VP16" s="43"/>
      <c r="VQ16" s="43"/>
      <c r="VR16" s="43"/>
      <c r="VS16" s="43"/>
      <c r="VT16" s="43"/>
      <c r="VU16" s="43"/>
      <c r="VV16" s="43"/>
      <c r="VW16" s="43"/>
      <c r="VX16" s="43"/>
      <c r="VY16" s="43"/>
      <c r="VZ16" s="43"/>
      <c r="WA16" s="43"/>
      <c r="WB16" s="43"/>
      <c r="WC16" s="43"/>
      <c r="WD16" s="43"/>
      <c r="WE16" s="43"/>
      <c r="WF16" s="43"/>
      <c r="WG16" s="43"/>
      <c r="WH16" s="43"/>
      <c r="WI16" s="43"/>
      <c r="WJ16" s="43"/>
      <c r="WK16" s="43"/>
      <c r="WL16" s="43"/>
      <c r="WM16" s="43"/>
      <c r="WN16" s="43"/>
      <c r="WO16" s="43"/>
      <c r="WP16" s="43"/>
      <c r="WQ16" s="43"/>
      <c r="WR16" s="43"/>
      <c r="WS16" s="43"/>
      <c r="WT16" s="43"/>
      <c r="WU16" s="43"/>
      <c r="WV16" s="43"/>
      <c r="WW16" s="43"/>
      <c r="WX16" s="43"/>
      <c r="WY16" s="43"/>
      <c r="WZ16" s="43"/>
      <c r="XA16" s="43"/>
      <c r="XB16" s="43"/>
      <c r="XC16" s="43"/>
      <c r="XD16" s="43"/>
      <c r="XE16" s="43"/>
      <c r="XF16" s="43"/>
      <c r="XG16" s="43"/>
      <c r="XH16" s="43"/>
      <c r="XI16" s="43"/>
      <c r="XJ16" s="43"/>
      <c r="XK16" s="43"/>
      <c r="XL16" s="43"/>
      <c r="XM16" s="43"/>
      <c r="XN16" s="43"/>
      <c r="XO16" s="43"/>
      <c r="XP16" s="43"/>
      <c r="XQ16" s="43"/>
      <c r="XR16" s="43"/>
      <c r="XS16" s="43"/>
      <c r="XT16" s="43"/>
      <c r="XU16" s="43"/>
      <c r="XV16" s="43"/>
      <c r="XW16" s="43"/>
      <c r="XX16" s="43"/>
      <c r="XY16" s="43"/>
      <c r="XZ16" s="43"/>
      <c r="YA16" s="43"/>
      <c r="YB16" s="43"/>
      <c r="YC16" s="43"/>
      <c r="YD16" s="43"/>
      <c r="YE16" s="43"/>
      <c r="YF16" s="43"/>
      <c r="YG16" s="43"/>
      <c r="YH16" s="43"/>
      <c r="YI16" s="43"/>
      <c r="YJ16" s="43"/>
      <c r="YK16" s="43"/>
      <c r="YL16" s="43"/>
      <c r="YM16" s="43"/>
      <c r="YN16" s="43"/>
      <c r="YO16" s="43"/>
      <c r="YP16" s="43"/>
      <c r="YQ16" s="43"/>
      <c r="YR16" s="43"/>
      <c r="YS16" s="43"/>
      <c r="YT16" s="43"/>
      <c r="YU16" s="43"/>
      <c r="YV16" s="43"/>
      <c r="YW16" s="43"/>
      <c r="YX16" s="43"/>
      <c r="YY16" s="43"/>
      <c r="YZ16" s="43"/>
      <c r="ZA16" s="43"/>
      <c r="ZB16" s="43"/>
      <c r="ZC16" s="43"/>
      <c r="ZD16" s="43"/>
      <c r="ZE16" s="43"/>
      <c r="ZF16" s="43"/>
      <c r="ZG16" s="43"/>
      <c r="ZH16" s="43"/>
      <c r="ZI16" s="43"/>
      <c r="ZJ16" s="43"/>
      <c r="ZK16" s="43"/>
      <c r="ZL16" s="43"/>
      <c r="ZM16" s="43"/>
      <c r="ZN16" s="43"/>
      <c r="ZO16" s="43"/>
      <c r="ZP16" s="43"/>
      <c r="ZQ16" s="43"/>
      <c r="ZR16" s="43"/>
      <c r="ZS16" s="43"/>
      <c r="ZT16" s="43"/>
      <c r="ZU16" s="43"/>
      <c r="ZV16" s="43"/>
      <c r="ZW16" s="43"/>
      <c r="ZX16" s="43"/>
      <c r="ZY16" s="43"/>
      <c r="ZZ16" s="43"/>
      <c r="AAA16" s="43"/>
      <c r="AAB16" s="43"/>
      <c r="AAC16" s="43"/>
      <c r="AAD16" s="43"/>
      <c r="AAE16" s="43"/>
      <c r="AAF16" s="43"/>
      <c r="AAG16" s="43"/>
      <c r="AAH16" s="43"/>
      <c r="AAI16" s="43"/>
      <c r="AAJ16" s="43"/>
      <c r="AAK16" s="43"/>
      <c r="AAL16" s="43"/>
      <c r="AAM16" s="43"/>
      <c r="AAN16" s="43"/>
      <c r="AAO16" s="43"/>
      <c r="AAP16" s="43"/>
      <c r="AAQ16" s="43"/>
      <c r="AAR16" s="43"/>
      <c r="AAS16" s="43"/>
      <c r="AAT16" s="43"/>
      <c r="AAU16" s="43"/>
      <c r="AAV16" s="43"/>
      <c r="AAW16" s="43"/>
      <c r="AAX16" s="43"/>
      <c r="AAY16" s="43"/>
      <c r="AAZ16" s="43"/>
      <c r="ABA16" s="43"/>
      <c r="ABB16" s="43"/>
      <c r="ABC16" s="43"/>
      <c r="ABD16" s="43"/>
      <c r="ABE16" s="43"/>
      <c r="ABF16" s="43"/>
      <c r="ABG16" s="43"/>
      <c r="ABH16" s="43"/>
      <c r="ABI16" s="43"/>
      <c r="ABJ16" s="43"/>
      <c r="ABK16" s="43"/>
      <c r="ABL16" s="43"/>
      <c r="ABM16" s="43"/>
      <c r="ABN16" s="43"/>
      <c r="ABO16" s="43"/>
      <c r="ABP16" s="43"/>
      <c r="ABQ16" s="43"/>
      <c r="ABR16" s="43"/>
      <c r="ABS16" s="43"/>
      <c r="ABT16" s="43"/>
      <c r="ABU16" s="43"/>
      <c r="ABV16" s="43"/>
      <c r="ABW16" s="43"/>
      <c r="ABX16" s="43"/>
      <c r="ABY16" s="43"/>
      <c r="ABZ16" s="43"/>
      <c r="ACA16" s="43"/>
      <c r="ACB16" s="43"/>
      <c r="ACC16" s="43"/>
      <c r="ACD16" s="43"/>
      <c r="ACE16" s="43"/>
      <c r="ACF16" s="43"/>
      <c r="ACG16" s="43"/>
      <c r="ACH16" s="43"/>
      <c r="ACI16" s="43"/>
      <c r="ACJ16" s="43"/>
      <c r="ACK16" s="43"/>
      <c r="ACL16" s="43"/>
      <c r="ACM16" s="43"/>
      <c r="ACN16" s="43"/>
      <c r="ACO16" s="43"/>
      <c r="ACP16" s="43"/>
      <c r="ACQ16" s="43"/>
      <c r="ACR16" s="43"/>
      <c r="ACS16" s="43"/>
      <c r="ACT16" s="43"/>
      <c r="ACU16" s="43"/>
      <c r="ACV16" s="43"/>
      <c r="ACW16" s="43"/>
      <c r="ACX16" s="43"/>
      <c r="ACY16" s="43"/>
      <c r="ACZ16" s="43"/>
      <c r="ADA16" s="43"/>
      <c r="ADB16" s="43"/>
      <c r="ADC16" s="43"/>
      <c r="ADD16" s="43"/>
      <c r="ADE16" s="43"/>
      <c r="ADF16" s="43"/>
      <c r="ADG16" s="43"/>
      <c r="ADH16" s="43"/>
      <c r="ADI16" s="43"/>
      <c r="ADJ16" s="43"/>
      <c r="ADK16" s="43"/>
      <c r="ADL16" s="43"/>
      <c r="ADM16" s="43"/>
      <c r="ADN16" s="43"/>
      <c r="ADO16" s="43"/>
      <c r="ADP16" s="43"/>
      <c r="ADQ16" s="43"/>
      <c r="ADR16" s="43"/>
      <c r="ADS16" s="43"/>
      <c r="ADT16" s="43"/>
      <c r="ADU16" s="43"/>
      <c r="ADV16" s="43"/>
      <c r="ADW16" s="43"/>
      <c r="ADX16" s="43"/>
      <c r="ADY16" s="43"/>
      <c r="ADZ16" s="43"/>
      <c r="AEA16" s="43"/>
      <c r="AEB16" s="43"/>
      <c r="AEC16" s="43"/>
      <c r="AED16" s="43"/>
      <c r="AEE16" s="43"/>
      <c r="AEF16" s="43"/>
      <c r="AEG16" s="43"/>
      <c r="AEH16" s="43"/>
      <c r="AEI16" s="43"/>
      <c r="AEJ16" s="43"/>
      <c r="AEK16" s="43"/>
      <c r="AEL16" s="43"/>
      <c r="AEM16" s="43"/>
      <c r="AEN16" s="43"/>
      <c r="AEO16" s="43"/>
      <c r="AEP16" s="43"/>
      <c r="AEQ16" s="43"/>
      <c r="AER16" s="43"/>
      <c r="AES16" s="43"/>
      <c r="AET16" s="43"/>
      <c r="AEU16" s="43"/>
      <c r="AEV16" s="43"/>
      <c r="AEW16" s="43"/>
      <c r="AEX16" s="43"/>
      <c r="AEY16" s="43"/>
      <c r="AEZ16" s="43"/>
      <c r="AFA16" s="43"/>
      <c r="AFB16" s="43"/>
      <c r="AFC16" s="43"/>
      <c r="AFD16" s="43"/>
      <c r="AFE16" s="43"/>
      <c r="AFF16" s="43"/>
      <c r="AFG16" s="43"/>
      <c r="AFH16" s="43"/>
      <c r="AFI16" s="43"/>
      <c r="AFJ16" s="43"/>
      <c r="AFK16" s="43"/>
      <c r="AFL16" s="43"/>
      <c r="AFM16" s="43"/>
      <c r="AFN16" s="43"/>
      <c r="AFO16" s="43"/>
      <c r="AFP16" s="43"/>
      <c r="AFQ16" s="43"/>
      <c r="AFR16" s="43"/>
      <c r="AFS16" s="43"/>
      <c r="AFT16" s="43"/>
      <c r="AFU16" s="43"/>
      <c r="AFV16" s="43"/>
      <c r="AFW16" s="43"/>
      <c r="AFX16" s="43"/>
      <c r="AFY16" s="43"/>
      <c r="AFZ16" s="43"/>
      <c r="AGA16" s="43"/>
      <c r="AGB16" s="43"/>
      <c r="AGC16" s="43"/>
      <c r="AGD16" s="43"/>
      <c r="AGE16" s="43"/>
      <c r="AGF16" s="43"/>
      <c r="AGG16" s="43"/>
      <c r="AGH16" s="43"/>
      <c r="AGI16" s="43"/>
      <c r="AGJ16" s="43"/>
      <c r="AGK16" s="43"/>
      <c r="AGL16" s="43"/>
      <c r="AGM16" s="43"/>
      <c r="AGN16" s="43"/>
      <c r="AGO16" s="43"/>
      <c r="AGP16" s="43"/>
      <c r="AGQ16" s="43"/>
      <c r="AGR16" s="43"/>
      <c r="AGS16" s="43"/>
      <c r="AGT16" s="43"/>
      <c r="AGU16" s="43"/>
      <c r="AGV16" s="43"/>
      <c r="AGW16" s="43"/>
      <c r="AGX16" s="43"/>
      <c r="AGY16" s="43"/>
      <c r="AGZ16" s="43"/>
      <c r="AHA16" s="43"/>
      <c r="AHB16" s="43"/>
      <c r="AHC16" s="43"/>
      <c r="AHD16" s="43"/>
      <c r="AHE16" s="43"/>
      <c r="AHF16" s="43"/>
      <c r="AHG16" s="43"/>
      <c r="AHH16" s="43"/>
      <c r="AHI16" s="43"/>
      <c r="AHJ16" s="43"/>
      <c r="AHK16" s="43"/>
      <c r="AHL16" s="43"/>
      <c r="AHM16" s="43"/>
      <c r="AHN16" s="43"/>
      <c r="AHO16" s="43"/>
      <c r="AHP16" s="43"/>
      <c r="AHQ16" s="43"/>
      <c r="AHR16" s="43"/>
      <c r="AHS16" s="43"/>
      <c r="AHT16" s="43"/>
      <c r="AHU16" s="43"/>
      <c r="AHV16" s="43"/>
      <c r="AHW16" s="43"/>
      <c r="AHX16" s="43"/>
      <c r="AHY16" s="43"/>
      <c r="AHZ16" s="43"/>
      <c r="AIA16" s="43"/>
      <c r="AIB16" s="43"/>
      <c r="AIC16" s="43"/>
      <c r="AID16" s="43"/>
      <c r="AIE16" s="43"/>
      <c r="AIF16" s="43"/>
      <c r="AIG16" s="43"/>
      <c r="AIH16" s="43"/>
      <c r="AII16" s="43"/>
      <c r="AIJ16" s="43"/>
      <c r="AIK16" s="43"/>
      <c r="AIL16" s="43"/>
      <c r="AIM16" s="43"/>
      <c r="AIN16" s="43"/>
      <c r="AIO16" s="43"/>
      <c r="AIP16" s="43"/>
      <c r="AIQ16" s="43"/>
      <c r="AIR16" s="43"/>
      <c r="AIS16" s="43"/>
      <c r="AIT16" s="43"/>
      <c r="AIU16" s="43"/>
      <c r="AIV16" s="43"/>
      <c r="AIW16" s="43"/>
      <c r="AIX16" s="43"/>
      <c r="AIY16" s="43"/>
      <c r="AIZ16" s="43"/>
      <c r="AJA16" s="43"/>
      <c r="AJB16" s="43"/>
      <c r="AJC16" s="43"/>
      <c r="AJD16" s="43"/>
      <c r="AJE16" s="43"/>
      <c r="AJF16" s="43"/>
      <c r="AJG16" s="43"/>
      <c r="AJH16" s="43"/>
      <c r="AJI16" s="43"/>
      <c r="AJJ16" s="43"/>
      <c r="AJK16" s="43"/>
      <c r="AJL16" s="43"/>
      <c r="AJM16" s="43"/>
      <c r="AJN16" s="43"/>
      <c r="AJO16" s="43"/>
      <c r="AJP16" s="43"/>
      <c r="AJQ16" s="43"/>
      <c r="AJR16" s="43"/>
      <c r="AJS16" s="43"/>
      <c r="AJT16" s="43"/>
      <c r="AJU16" s="43"/>
      <c r="AJV16" s="43"/>
      <c r="AJW16" s="43"/>
      <c r="AJX16" s="43"/>
      <c r="AJY16" s="43"/>
      <c r="AJZ16" s="43"/>
      <c r="AKA16" s="43"/>
      <c r="AKB16" s="43"/>
      <c r="AKC16" s="43"/>
      <c r="AKD16" s="43"/>
      <c r="AKE16" s="43"/>
      <c r="AKF16" s="43"/>
      <c r="AKG16" s="43"/>
      <c r="AKH16" s="43"/>
      <c r="AKI16" s="43"/>
      <c r="AKJ16" s="43"/>
      <c r="AKK16" s="43"/>
      <c r="AKL16" s="43"/>
      <c r="AKM16" s="43"/>
      <c r="AKN16" s="43"/>
      <c r="AKO16" s="43"/>
      <c r="AKP16" s="43"/>
      <c r="AKQ16" s="43"/>
      <c r="AKR16" s="43"/>
      <c r="AKS16" s="43"/>
      <c r="AKT16" s="43"/>
      <c r="AKU16" s="43"/>
      <c r="AKV16" s="43"/>
      <c r="AKW16" s="43"/>
      <c r="AKX16" s="43"/>
      <c r="AKY16" s="43"/>
      <c r="AKZ16" s="43"/>
      <c r="ALA16" s="43"/>
      <c r="ALB16" s="43"/>
      <c r="ALC16" s="43"/>
      <c r="ALD16" s="43"/>
      <c r="ALE16" s="43"/>
      <c r="ALF16" s="43"/>
      <c r="ALG16" s="43"/>
      <c r="ALH16" s="43"/>
      <c r="ALI16" s="43"/>
      <c r="ALJ16" s="43"/>
      <c r="ALK16" s="43"/>
      <c r="ALL16" s="43"/>
      <c r="ALM16" s="43"/>
      <c r="ALN16" s="43"/>
      <c r="ALO16" s="43"/>
      <c r="ALP16" s="43"/>
      <c r="ALQ16" s="43"/>
      <c r="ALR16" s="43"/>
      <c r="ALS16" s="43"/>
      <c r="ALT16" s="43"/>
      <c r="ALU16" s="43"/>
      <c r="ALV16" s="43"/>
      <c r="ALW16" s="43"/>
      <c r="ALX16" s="43"/>
      <c r="ALY16" s="43"/>
      <c r="ALZ16" s="43"/>
      <c r="AMA16" s="43"/>
      <c r="AMB16" s="43"/>
      <c r="AMC16" s="43"/>
      <c r="AMD16" s="43"/>
      <c r="AME16" s="43"/>
      <c r="AMF16" s="43"/>
      <c r="AMG16" s="43"/>
      <c r="AMH16" s="43"/>
      <c r="AMI16" s="43"/>
    </row>
    <row r="17" spans="1:1024" s="35" customFormat="1" ht="15.75" x14ac:dyDescent="0.25">
      <c r="A17" s="45"/>
      <c r="B17" s="54"/>
      <c r="C17" s="54"/>
      <c r="D17" s="54"/>
      <c r="E17" s="54"/>
      <c r="F17" s="54"/>
      <c r="G17" s="54"/>
      <c r="H17" s="54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  <c r="IX17" s="43"/>
      <c r="IY17" s="43"/>
      <c r="IZ17" s="43"/>
      <c r="JA17" s="43"/>
      <c r="JB17" s="43"/>
      <c r="JC17" s="43"/>
      <c r="JD17" s="43"/>
      <c r="JE17" s="43"/>
      <c r="JF17" s="43"/>
      <c r="JG17" s="43"/>
      <c r="JH17" s="43"/>
      <c r="JI17" s="43"/>
      <c r="JJ17" s="43"/>
      <c r="JK17" s="43"/>
      <c r="JL17" s="43"/>
      <c r="JM17" s="43"/>
      <c r="JN17" s="43"/>
      <c r="JO17" s="43"/>
      <c r="JP17" s="43"/>
      <c r="JQ17" s="43"/>
      <c r="JR17" s="43"/>
      <c r="JS17" s="43"/>
      <c r="JT17" s="43"/>
      <c r="JU17" s="43"/>
      <c r="JV17" s="43"/>
      <c r="JW17" s="43"/>
      <c r="JX17" s="43"/>
      <c r="JY17" s="43"/>
      <c r="JZ17" s="43"/>
      <c r="KA17" s="43"/>
      <c r="KB17" s="43"/>
      <c r="KC17" s="43"/>
      <c r="KD17" s="43"/>
      <c r="KE17" s="43"/>
      <c r="KF17" s="43"/>
      <c r="KG17" s="43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  <c r="ZQ17" s="43"/>
      <c r="ZR17" s="43"/>
      <c r="ZS17" s="43"/>
      <c r="ZT17" s="43"/>
      <c r="ZU17" s="43"/>
      <c r="ZV17" s="43"/>
      <c r="ZW17" s="43"/>
      <c r="ZX17" s="43"/>
      <c r="ZY17" s="43"/>
      <c r="ZZ17" s="43"/>
      <c r="AAA17" s="43"/>
      <c r="AAB17" s="43"/>
      <c r="AAC17" s="43"/>
      <c r="AAD17" s="43"/>
      <c r="AAE17" s="43"/>
      <c r="AAF17" s="43"/>
      <c r="AAG17" s="43"/>
      <c r="AAH17" s="43"/>
      <c r="AAI17" s="43"/>
      <c r="AAJ17" s="43"/>
      <c r="AAK17" s="43"/>
      <c r="AAL17" s="43"/>
      <c r="AAM17" s="43"/>
      <c r="AAN17" s="43"/>
      <c r="AAO17" s="43"/>
      <c r="AAP17" s="43"/>
      <c r="AAQ17" s="43"/>
      <c r="AAR17" s="43"/>
      <c r="AAS17" s="43"/>
      <c r="AAT17" s="43"/>
      <c r="AAU17" s="43"/>
      <c r="AAV17" s="43"/>
      <c r="AAW17" s="43"/>
      <c r="AAX17" s="43"/>
      <c r="AAY17" s="43"/>
      <c r="AAZ17" s="43"/>
      <c r="ABA17" s="43"/>
      <c r="ABB17" s="43"/>
      <c r="ABC17" s="43"/>
      <c r="ABD17" s="43"/>
      <c r="ABE17" s="43"/>
      <c r="ABF17" s="43"/>
      <c r="ABG17" s="43"/>
      <c r="ABH17" s="43"/>
      <c r="ABI17" s="43"/>
      <c r="ABJ17" s="43"/>
      <c r="ABK17" s="43"/>
      <c r="ABL17" s="43"/>
      <c r="ABM17" s="43"/>
      <c r="ABN17" s="43"/>
      <c r="ABO17" s="43"/>
      <c r="ABP17" s="43"/>
      <c r="ABQ17" s="43"/>
      <c r="ABR17" s="43"/>
      <c r="ABS17" s="43"/>
      <c r="ABT17" s="43"/>
      <c r="ABU17" s="43"/>
      <c r="ABV17" s="43"/>
      <c r="ABW17" s="43"/>
      <c r="ABX17" s="43"/>
      <c r="ABY17" s="43"/>
      <c r="ABZ17" s="43"/>
      <c r="ACA17" s="43"/>
      <c r="ACB17" s="43"/>
      <c r="ACC17" s="43"/>
      <c r="ACD17" s="43"/>
      <c r="ACE17" s="43"/>
      <c r="ACF17" s="43"/>
      <c r="ACG17" s="43"/>
      <c r="ACH17" s="43"/>
      <c r="ACI17" s="43"/>
      <c r="ACJ17" s="43"/>
      <c r="ACK17" s="43"/>
      <c r="ACL17" s="43"/>
      <c r="ACM17" s="43"/>
      <c r="ACN17" s="43"/>
      <c r="ACO17" s="43"/>
      <c r="ACP17" s="43"/>
      <c r="ACQ17" s="43"/>
      <c r="ACR17" s="43"/>
      <c r="ACS17" s="43"/>
      <c r="ACT17" s="43"/>
      <c r="ACU17" s="43"/>
      <c r="ACV17" s="43"/>
      <c r="ACW17" s="43"/>
      <c r="ACX17" s="43"/>
      <c r="ACY17" s="43"/>
      <c r="ACZ17" s="43"/>
      <c r="ADA17" s="43"/>
      <c r="ADB17" s="43"/>
      <c r="ADC17" s="43"/>
      <c r="ADD17" s="43"/>
      <c r="ADE17" s="43"/>
      <c r="ADF17" s="43"/>
      <c r="ADG17" s="43"/>
      <c r="ADH17" s="43"/>
      <c r="ADI17" s="43"/>
      <c r="ADJ17" s="43"/>
      <c r="ADK17" s="43"/>
      <c r="ADL17" s="43"/>
      <c r="ADM17" s="43"/>
      <c r="ADN17" s="43"/>
      <c r="ADO17" s="43"/>
      <c r="ADP17" s="43"/>
      <c r="ADQ17" s="43"/>
      <c r="ADR17" s="43"/>
      <c r="ADS17" s="43"/>
      <c r="ADT17" s="43"/>
      <c r="ADU17" s="43"/>
      <c r="ADV17" s="43"/>
      <c r="ADW17" s="43"/>
      <c r="ADX17" s="43"/>
      <c r="ADY17" s="43"/>
      <c r="ADZ17" s="43"/>
      <c r="AEA17" s="43"/>
      <c r="AEB17" s="43"/>
      <c r="AEC17" s="43"/>
      <c r="AED17" s="43"/>
      <c r="AEE17" s="43"/>
      <c r="AEF17" s="43"/>
      <c r="AEG17" s="43"/>
      <c r="AEH17" s="43"/>
      <c r="AEI17" s="43"/>
      <c r="AEJ17" s="43"/>
      <c r="AEK17" s="43"/>
      <c r="AEL17" s="43"/>
      <c r="AEM17" s="43"/>
      <c r="AEN17" s="43"/>
      <c r="AEO17" s="43"/>
      <c r="AEP17" s="43"/>
      <c r="AEQ17" s="43"/>
      <c r="AER17" s="43"/>
      <c r="AES17" s="43"/>
      <c r="AET17" s="43"/>
      <c r="AEU17" s="43"/>
      <c r="AEV17" s="43"/>
      <c r="AEW17" s="43"/>
      <c r="AEX17" s="43"/>
      <c r="AEY17" s="43"/>
      <c r="AEZ17" s="43"/>
      <c r="AFA17" s="43"/>
      <c r="AFB17" s="43"/>
      <c r="AFC17" s="43"/>
      <c r="AFD17" s="43"/>
      <c r="AFE17" s="43"/>
      <c r="AFF17" s="43"/>
      <c r="AFG17" s="43"/>
      <c r="AFH17" s="43"/>
      <c r="AFI17" s="43"/>
      <c r="AFJ17" s="43"/>
      <c r="AFK17" s="43"/>
      <c r="AFL17" s="43"/>
      <c r="AFM17" s="43"/>
      <c r="AFN17" s="43"/>
      <c r="AFO17" s="43"/>
      <c r="AFP17" s="43"/>
      <c r="AFQ17" s="43"/>
      <c r="AFR17" s="43"/>
      <c r="AFS17" s="43"/>
      <c r="AFT17" s="43"/>
      <c r="AFU17" s="43"/>
      <c r="AFV17" s="43"/>
      <c r="AFW17" s="43"/>
      <c r="AFX17" s="43"/>
      <c r="AFY17" s="43"/>
      <c r="AFZ17" s="43"/>
      <c r="AGA17" s="43"/>
      <c r="AGB17" s="43"/>
      <c r="AGC17" s="43"/>
      <c r="AGD17" s="43"/>
      <c r="AGE17" s="43"/>
      <c r="AGF17" s="43"/>
      <c r="AGG17" s="43"/>
      <c r="AGH17" s="43"/>
      <c r="AGI17" s="43"/>
      <c r="AGJ17" s="43"/>
      <c r="AGK17" s="43"/>
      <c r="AGL17" s="43"/>
      <c r="AGM17" s="43"/>
      <c r="AGN17" s="43"/>
      <c r="AGO17" s="43"/>
      <c r="AGP17" s="43"/>
      <c r="AGQ17" s="43"/>
      <c r="AGR17" s="43"/>
      <c r="AGS17" s="43"/>
      <c r="AGT17" s="43"/>
      <c r="AGU17" s="43"/>
      <c r="AGV17" s="43"/>
      <c r="AGW17" s="43"/>
      <c r="AGX17" s="43"/>
      <c r="AGY17" s="43"/>
      <c r="AGZ17" s="43"/>
      <c r="AHA17" s="43"/>
      <c r="AHB17" s="43"/>
      <c r="AHC17" s="43"/>
      <c r="AHD17" s="43"/>
      <c r="AHE17" s="43"/>
      <c r="AHF17" s="43"/>
      <c r="AHG17" s="43"/>
      <c r="AHH17" s="43"/>
      <c r="AHI17" s="43"/>
      <c r="AHJ17" s="43"/>
      <c r="AHK17" s="43"/>
      <c r="AHL17" s="43"/>
      <c r="AHM17" s="43"/>
      <c r="AHN17" s="43"/>
      <c r="AHO17" s="43"/>
      <c r="AHP17" s="43"/>
      <c r="AHQ17" s="43"/>
      <c r="AHR17" s="43"/>
      <c r="AHS17" s="43"/>
      <c r="AHT17" s="43"/>
      <c r="AHU17" s="43"/>
      <c r="AHV17" s="43"/>
      <c r="AHW17" s="43"/>
      <c r="AHX17" s="43"/>
      <c r="AHY17" s="43"/>
      <c r="AHZ17" s="43"/>
      <c r="AIA17" s="43"/>
      <c r="AIB17" s="43"/>
      <c r="AIC17" s="43"/>
      <c r="AID17" s="43"/>
      <c r="AIE17" s="43"/>
      <c r="AIF17" s="43"/>
      <c r="AIG17" s="43"/>
      <c r="AIH17" s="43"/>
      <c r="AII17" s="43"/>
      <c r="AIJ17" s="43"/>
      <c r="AIK17" s="43"/>
      <c r="AIL17" s="43"/>
      <c r="AIM17" s="43"/>
      <c r="AIN17" s="43"/>
      <c r="AIO17" s="43"/>
      <c r="AIP17" s="43"/>
      <c r="AIQ17" s="43"/>
      <c r="AIR17" s="43"/>
      <c r="AIS17" s="43"/>
      <c r="AIT17" s="43"/>
      <c r="AIU17" s="43"/>
      <c r="AIV17" s="43"/>
      <c r="AIW17" s="43"/>
      <c r="AIX17" s="43"/>
      <c r="AIY17" s="43"/>
      <c r="AIZ17" s="43"/>
      <c r="AJA17" s="43"/>
      <c r="AJB17" s="43"/>
      <c r="AJC17" s="43"/>
      <c r="AJD17" s="43"/>
      <c r="AJE17" s="43"/>
      <c r="AJF17" s="43"/>
      <c r="AJG17" s="43"/>
      <c r="AJH17" s="43"/>
      <c r="AJI17" s="43"/>
      <c r="AJJ17" s="43"/>
      <c r="AJK17" s="43"/>
      <c r="AJL17" s="43"/>
      <c r="AJM17" s="43"/>
      <c r="AJN17" s="43"/>
      <c r="AJO17" s="43"/>
      <c r="AJP17" s="43"/>
      <c r="AJQ17" s="43"/>
      <c r="AJR17" s="43"/>
      <c r="AJS17" s="43"/>
      <c r="AJT17" s="43"/>
      <c r="AJU17" s="43"/>
      <c r="AJV17" s="43"/>
      <c r="AJW17" s="43"/>
      <c r="AJX17" s="43"/>
      <c r="AJY17" s="43"/>
      <c r="AJZ17" s="43"/>
      <c r="AKA17" s="43"/>
      <c r="AKB17" s="43"/>
      <c r="AKC17" s="43"/>
      <c r="AKD17" s="43"/>
      <c r="AKE17" s="43"/>
      <c r="AKF17" s="43"/>
      <c r="AKG17" s="43"/>
      <c r="AKH17" s="43"/>
      <c r="AKI17" s="43"/>
      <c r="AKJ17" s="43"/>
      <c r="AKK17" s="43"/>
      <c r="AKL17" s="43"/>
      <c r="AKM17" s="43"/>
      <c r="AKN17" s="43"/>
      <c r="AKO17" s="43"/>
      <c r="AKP17" s="43"/>
      <c r="AKQ17" s="43"/>
      <c r="AKR17" s="43"/>
      <c r="AKS17" s="43"/>
      <c r="AKT17" s="43"/>
      <c r="AKU17" s="43"/>
      <c r="AKV17" s="43"/>
      <c r="AKW17" s="43"/>
      <c r="AKX17" s="43"/>
      <c r="AKY17" s="43"/>
      <c r="AKZ17" s="43"/>
      <c r="ALA17" s="43"/>
      <c r="ALB17" s="43"/>
      <c r="ALC17" s="43"/>
      <c r="ALD17" s="43"/>
      <c r="ALE17" s="43"/>
      <c r="ALF17" s="43"/>
      <c r="ALG17" s="43"/>
      <c r="ALH17" s="43"/>
      <c r="ALI17" s="43"/>
      <c r="ALJ17" s="43"/>
      <c r="ALK17" s="43"/>
      <c r="ALL17" s="43"/>
      <c r="ALM17" s="43"/>
      <c r="ALN17" s="43"/>
      <c r="ALO17" s="43"/>
      <c r="ALP17" s="43"/>
      <c r="ALQ17" s="43"/>
      <c r="ALR17" s="43"/>
      <c r="ALS17" s="43"/>
      <c r="ALT17" s="43"/>
      <c r="ALU17" s="43"/>
      <c r="ALV17" s="43"/>
      <c r="ALW17" s="43"/>
      <c r="ALX17" s="43"/>
      <c r="ALY17" s="43"/>
      <c r="ALZ17" s="43"/>
      <c r="AMA17" s="43"/>
      <c r="AMB17" s="43"/>
      <c r="AMC17" s="43"/>
      <c r="AMD17" s="43"/>
      <c r="AME17" s="43"/>
      <c r="AMF17" s="43"/>
      <c r="AMG17" s="43"/>
      <c r="AMH17" s="43"/>
      <c r="AMI17" s="43"/>
    </row>
    <row r="18" spans="1:1024" s="35" customFormat="1" x14ac:dyDescent="0.25">
      <c r="A18" s="44" t="s">
        <v>105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  <c r="IX18" s="43"/>
      <c r="IY18" s="43"/>
      <c r="IZ18" s="43"/>
      <c r="JA18" s="43"/>
      <c r="JB18" s="43"/>
      <c r="JC18" s="43"/>
      <c r="JD18" s="43"/>
      <c r="JE18" s="43"/>
      <c r="JF18" s="43"/>
      <c r="JG18" s="43"/>
      <c r="JH18" s="43"/>
      <c r="JI18" s="43"/>
      <c r="JJ18" s="43"/>
      <c r="JK18" s="43"/>
      <c r="JL18" s="43"/>
      <c r="JM18" s="43"/>
      <c r="JN18" s="43"/>
      <c r="JO18" s="43"/>
      <c r="JP18" s="43"/>
      <c r="JQ18" s="43"/>
      <c r="JR18" s="43"/>
      <c r="JS18" s="43"/>
      <c r="JT18" s="43"/>
      <c r="JU18" s="43"/>
      <c r="JV18" s="43"/>
      <c r="JW18" s="43"/>
      <c r="JX18" s="43"/>
      <c r="JY18" s="43"/>
      <c r="JZ18" s="43"/>
      <c r="KA18" s="43"/>
      <c r="KB18" s="43"/>
      <c r="KC18" s="43"/>
      <c r="KD18" s="43"/>
      <c r="KE18" s="43"/>
      <c r="KF18" s="43"/>
      <c r="KG18" s="43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  <c r="ZQ18" s="43"/>
      <c r="ZR18" s="43"/>
      <c r="ZS18" s="43"/>
      <c r="ZT18" s="43"/>
      <c r="ZU18" s="43"/>
      <c r="ZV18" s="43"/>
      <c r="ZW18" s="43"/>
      <c r="ZX18" s="43"/>
      <c r="ZY18" s="43"/>
      <c r="ZZ18" s="43"/>
      <c r="AAA18" s="43"/>
      <c r="AAB18" s="43"/>
      <c r="AAC18" s="43"/>
      <c r="AAD18" s="43"/>
      <c r="AAE18" s="43"/>
      <c r="AAF18" s="43"/>
      <c r="AAG18" s="43"/>
      <c r="AAH18" s="43"/>
      <c r="AAI18" s="43"/>
      <c r="AAJ18" s="43"/>
      <c r="AAK18" s="43"/>
      <c r="AAL18" s="43"/>
      <c r="AAM18" s="43"/>
      <c r="AAN18" s="43"/>
      <c r="AAO18" s="43"/>
      <c r="AAP18" s="43"/>
      <c r="AAQ18" s="43"/>
      <c r="AAR18" s="43"/>
      <c r="AAS18" s="43"/>
      <c r="AAT18" s="43"/>
      <c r="AAU18" s="43"/>
      <c r="AAV18" s="43"/>
      <c r="AAW18" s="43"/>
      <c r="AAX18" s="43"/>
      <c r="AAY18" s="43"/>
      <c r="AAZ18" s="43"/>
      <c r="ABA18" s="43"/>
      <c r="ABB18" s="43"/>
      <c r="ABC18" s="43"/>
      <c r="ABD18" s="43"/>
      <c r="ABE18" s="43"/>
      <c r="ABF18" s="43"/>
      <c r="ABG18" s="43"/>
      <c r="ABH18" s="43"/>
      <c r="ABI18" s="43"/>
      <c r="ABJ18" s="43"/>
      <c r="ABK18" s="43"/>
      <c r="ABL18" s="43"/>
      <c r="ABM18" s="43"/>
      <c r="ABN18" s="43"/>
      <c r="ABO18" s="43"/>
      <c r="ABP18" s="43"/>
      <c r="ABQ18" s="43"/>
      <c r="ABR18" s="43"/>
      <c r="ABS18" s="43"/>
      <c r="ABT18" s="43"/>
      <c r="ABU18" s="43"/>
      <c r="ABV18" s="43"/>
      <c r="ABW18" s="43"/>
      <c r="ABX18" s="43"/>
      <c r="ABY18" s="43"/>
      <c r="ABZ18" s="43"/>
      <c r="ACA18" s="43"/>
      <c r="ACB18" s="43"/>
      <c r="ACC18" s="43"/>
      <c r="ACD18" s="43"/>
      <c r="ACE18" s="43"/>
      <c r="ACF18" s="43"/>
      <c r="ACG18" s="43"/>
      <c r="ACH18" s="43"/>
      <c r="ACI18" s="43"/>
      <c r="ACJ18" s="43"/>
      <c r="ACK18" s="43"/>
      <c r="ACL18" s="43"/>
      <c r="ACM18" s="43"/>
      <c r="ACN18" s="43"/>
      <c r="ACO18" s="43"/>
      <c r="ACP18" s="43"/>
      <c r="ACQ18" s="43"/>
      <c r="ACR18" s="43"/>
      <c r="ACS18" s="43"/>
      <c r="ACT18" s="43"/>
      <c r="ACU18" s="43"/>
      <c r="ACV18" s="43"/>
      <c r="ACW18" s="43"/>
      <c r="ACX18" s="43"/>
      <c r="ACY18" s="43"/>
      <c r="ACZ18" s="43"/>
      <c r="ADA18" s="43"/>
      <c r="ADB18" s="43"/>
      <c r="ADC18" s="43"/>
      <c r="ADD18" s="43"/>
      <c r="ADE18" s="43"/>
      <c r="ADF18" s="43"/>
      <c r="ADG18" s="43"/>
      <c r="ADH18" s="43"/>
      <c r="ADI18" s="43"/>
      <c r="ADJ18" s="43"/>
      <c r="ADK18" s="43"/>
      <c r="ADL18" s="43"/>
      <c r="ADM18" s="43"/>
      <c r="ADN18" s="43"/>
      <c r="ADO18" s="43"/>
      <c r="ADP18" s="43"/>
      <c r="ADQ18" s="43"/>
      <c r="ADR18" s="43"/>
      <c r="ADS18" s="43"/>
      <c r="ADT18" s="43"/>
      <c r="ADU18" s="43"/>
      <c r="ADV18" s="43"/>
      <c r="ADW18" s="43"/>
      <c r="ADX18" s="43"/>
      <c r="ADY18" s="43"/>
      <c r="ADZ18" s="43"/>
      <c r="AEA18" s="43"/>
      <c r="AEB18" s="43"/>
      <c r="AEC18" s="43"/>
      <c r="AED18" s="43"/>
      <c r="AEE18" s="43"/>
      <c r="AEF18" s="43"/>
      <c r="AEG18" s="43"/>
      <c r="AEH18" s="43"/>
      <c r="AEI18" s="43"/>
      <c r="AEJ18" s="43"/>
      <c r="AEK18" s="43"/>
      <c r="AEL18" s="43"/>
      <c r="AEM18" s="43"/>
      <c r="AEN18" s="43"/>
      <c r="AEO18" s="43"/>
      <c r="AEP18" s="43"/>
      <c r="AEQ18" s="43"/>
      <c r="AER18" s="43"/>
      <c r="AES18" s="43"/>
      <c r="AET18" s="43"/>
      <c r="AEU18" s="43"/>
      <c r="AEV18" s="43"/>
      <c r="AEW18" s="43"/>
      <c r="AEX18" s="43"/>
      <c r="AEY18" s="43"/>
      <c r="AEZ18" s="43"/>
      <c r="AFA18" s="43"/>
      <c r="AFB18" s="43"/>
      <c r="AFC18" s="43"/>
      <c r="AFD18" s="43"/>
      <c r="AFE18" s="43"/>
      <c r="AFF18" s="43"/>
      <c r="AFG18" s="43"/>
      <c r="AFH18" s="43"/>
      <c r="AFI18" s="43"/>
      <c r="AFJ18" s="43"/>
      <c r="AFK18" s="43"/>
      <c r="AFL18" s="43"/>
      <c r="AFM18" s="43"/>
      <c r="AFN18" s="43"/>
      <c r="AFO18" s="43"/>
      <c r="AFP18" s="43"/>
      <c r="AFQ18" s="43"/>
      <c r="AFR18" s="43"/>
      <c r="AFS18" s="43"/>
      <c r="AFT18" s="43"/>
      <c r="AFU18" s="43"/>
      <c r="AFV18" s="43"/>
      <c r="AFW18" s="43"/>
      <c r="AFX18" s="43"/>
      <c r="AFY18" s="43"/>
      <c r="AFZ18" s="43"/>
      <c r="AGA18" s="43"/>
      <c r="AGB18" s="43"/>
      <c r="AGC18" s="43"/>
      <c r="AGD18" s="43"/>
      <c r="AGE18" s="43"/>
      <c r="AGF18" s="43"/>
      <c r="AGG18" s="43"/>
      <c r="AGH18" s="43"/>
      <c r="AGI18" s="43"/>
      <c r="AGJ18" s="43"/>
      <c r="AGK18" s="43"/>
      <c r="AGL18" s="43"/>
      <c r="AGM18" s="43"/>
      <c r="AGN18" s="43"/>
      <c r="AGO18" s="43"/>
      <c r="AGP18" s="43"/>
      <c r="AGQ18" s="43"/>
      <c r="AGR18" s="43"/>
      <c r="AGS18" s="43"/>
      <c r="AGT18" s="43"/>
      <c r="AGU18" s="43"/>
      <c r="AGV18" s="43"/>
      <c r="AGW18" s="43"/>
      <c r="AGX18" s="43"/>
      <c r="AGY18" s="43"/>
      <c r="AGZ18" s="43"/>
      <c r="AHA18" s="43"/>
      <c r="AHB18" s="43"/>
      <c r="AHC18" s="43"/>
      <c r="AHD18" s="43"/>
      <c r="AHE18" s="43"/>
      <c r="AHF18" s="43"/>
      <c r="AHG18" s="43"/>
      <c r="AHH18" s="43"/>
      <c r="AHI18" s="43"/>
      <c r="AHJ18" s="43"/>
      <c r="AHK18" s="43"/>
      <c r="AHL18" s="43"/>
      <c r="AHM18" s="43"/>
      <c r="AHN18" s="43"/>
      <c r="AHO18" s="43"/>
      <c r="AHP18" s="43"/>
      <c r="AHQ18" s="43"/>
      <c r="AHR18" s="43"/>
      <c r="AHS18" s="43"/>
      <c r="AHT18" s="43"/>
      <c r="AHU18" s="43"/>
      <c r="AHV18" s="43"/>
      <c r="AHW18" s="43"/>
      <c r="AHX18" s="43"/>
      <c r="AHY18" s="43"/>
      <c r="AHZ18" s="43"/>
      <c r="AIA18" s="43"/>
      <c r="AIB18" s="43"/>
      <c r="AIC18" s="43"/>
      <c r="AID18" s="43"/>
      <c r="AIE18" s="43"/>
      <c r="AIF18" s="43"/>
      <c r="AIG18" s="43"/>
      <c r="AIH18" s="43"/>
      <c r="AII18" s="43"/>
      <c r="AIJ18" s="43"/>
      <c r="AIK18" s="43"/>
      <c r="AIL18" s="43"/>
      <c r="AIM18" s="43"/>
      <c r="AIN18" s="43"/>
      <c r="AIO18" s="43"/>
      <c r="AIP18" s="43"/>
      <c r="AIQ18" s="43"/>
      <c r="AIR18" s="43"/>
      <c r="AIS18" s="43"/>
      <c r="AIT18" s="43"/>
      <c r="AIU18" s="43"/>
      <c r="AIV18" s="43"/>
      <c r="AIW18" s="43"/>
      <c r="AIX18" s="43"/>
      <c r="AIY18" s="43"/>
      <c r="AIZ18" s="43"/>
      <c r="AJA18" s="43"/>
      <c r="AJB18" s="43"/>
      <c r="AJC18" s="43"/>
      <c r="AJD18" s="43"/>
      <c r="AJE18" s="43"/>
      <c r="AJF18" s="43"/>
      <c r="AJG18" s="43"/>
      <c r="AJH18" s="43"/>
      <c r="AJI18" s="43"/>
      <c r="AJJ18" s="43"/>
      <c r="AJK18" s="43"/>
      <c r="AJL18" s="43"/>
      <c r="AJM18" s="43"/>
      <c r="AJN18" s="43"/>
      <c r="AJO18" s="43"/>
      <c r="AJP18" s="43"/>
      <c r="AJQ18" s="43"/>
      <c r="AJR18" s="43"/>
      <c r="AJS18" s="43"/>
      <c r="AJT18" s="43"/>
      <c r="AJU18" s="43"/>
      <c r="AJV18" s="43"/>
      <c r="AJW18" s="43"/>
      <c r="AJX18" s="43"/>
      <c r="AJY18" s="43"/>
      <c r="AJZ18" s="43"/>
      <c r="AKA18" s="43"/>
      <c r="AKB18" s="43"/>
      <c r="AKC18" s="43"/>
      <c r="AKD18" s="43"/>
      <c r="AKE18" s="43"/>
      <c r="AKF18" s="43"/>
      <c r="AKG18" s="43"/>
      <c r="AKH18" s="43"/>
      <c r="AKI18" s="43"/>
      <c r="AKJ18" s="43"/>
      <c r="AKK18" s="43"/>
      <c r="AKL18" s="43"/>
      <c r="AKM18" s="43"/>
      <c r="AKN18" s="43"/>
      <c r="AKO18" s="43"/>
      <c r="AKP18" s="43"/>
      <c r="AKQ18" s="43"/>
      <c r="AKR18" s="43"/>
      <c r="AKS18" s="43"/>
      <c r="AKT18" s="43"/>
      <c r="AKU18" s="43"/>
      <c r="AKV18" s="43"/>
      <c r="AKW18" s="43"/>
      <c r="AKX18" s="43"/>
      <c r="AKY18" s="43"/>
      <c r="AKZ18" s="43"/>
      <c r="ALA18" s="43"/>
      <c r="ALB18" s="43"/>
      <c r="ALC18" s="43"/>
      <c r="ALD18" s="43"/>
      <c r="ALE18" s="43"/>
      <c r="ALF18" s="43"/>
      <c r="ALG18" s="43"/>
      <c r="ALH18" s="43"/>
      <c r="ALI18" s="43"/>
      <c r="ALJ18" s="43"/>
      <c r="ALK18" s="43"/>
      <c r="ALL18" s="43"/>
      <c r="ALM18" s="43"/>
      <c r="ALN18" s="43"/>
      <c r="ALO18" s="43"/>
      <c r="ALP18" s="43"/>
      <c r="ALQ18" s="43"/>
      <c r="ALR18" s="43"/>
      <c r="ALS18" s="43"/>
      <c r="ALT18" s="43"/>
      <c r="ALU18" s="43"/>
      <c r="ALV18" s="43"/>
      <c r="ALW18" s="43"/>
      <c r="ALX18" s="43"/>
      <c r="ALY18" s="43"/>
      <c r="ALZ18" s="43"/>
      <c r="AMA18" s="43"/>
      <c r="AMB18" s="43"/>
      <c r="AMC18" s="43"/>
      <c r="AMD18" s="43"/>
      <c r="AME18" s="43"/>
      <c r="AMF18" s="43"/>
      <c r="AMG18" s="43"/>
      <c r="AMH18" s="43"/>
      <c r="AMI18" s="43"/>
    </row>
    <row r="19" spans="1:1024" s="93" customFormat="1" ht="60" x14ac:dyDescent="0.25">
      <c r="A19" s="44" t="s">
        <v>52</v>
      </c>
      <c r="B19" s="45" t="s">
        <v>59</v>
      </c>
      <c r="C19" s="45" t="s">
        <v>43</v>
      </c>
      <c r="D19" s="45" t="s">
        <v>162</v>
      </c>
      <c r="E19" s="45" t="s">
        <v>163</v>
      </c>
      <c r="F19" s="45" t="s">
        <v>60</v>
      </c>
      <c r="G19" s="45" t="s">
        <v>75</v>
      </c>
      <c r="H19" s="45" t="s">
        <v>49</v>
      </c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  <c r="IX19" s="43"/>
      <c r="IY19" s="43"/>
      <c r="IZ19" s="43"/>
      <c r="JA19" s="43"/>
      <c r="JB19" s="43"/>
      <c r="JC19" s="43"/>
      <c r="JD19" s="43"/>
      <c r="JE19" s="43"/>
      <c r="JF19" s="43"/>
      <c r="JG19" s="43"/>
      <c r="JH19" s="43"/>
      <c r="JI19" s="43"/>
      <c r="JJ19" s="43"/>
      <c r="JK19" s="43"/>
      <c r="JL19" s="43"/>
      <c r="JM19" s="43"/>
      <c r="JN19" s="43"/>
      <c r="JO19" s="43"/>
      <c r="JP19" s="43"/>
      <c r="JQ19" s="43"/>
      <c r="JR19" s="43"/>
      <c r="JS19" s="43"/>
      <c r="JT19" s="43"/>
      <c r="JU19" s="43"/>
      <c r="JV19" s="43"/>
      <c r="JW19" s="43"/>
      <c r="JX19" s="43"/>
      <c r="JY19" s="43"/>
      <c r="JZ19" s="43"/>
      <c r="KA19" s="43"/>
      <c r="KB19" s="43"/>
      <c r="KC19" s="43"/>
      <c r="KD19" s="43"/>
      <c r="KE19" s="43"/>
      <c r="KF19" s="43"/>
      <c r="KG19" s="43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  <c r="RS19" s="43"/>
      <c r="RT19" s="43"/>
      <c r="RU19" s="43"/>
      <c r="RV19" s="43"/>
      <c r="RW19" s="43"/>
      <c r="RX19" s="43"/>
      <c r="RY19" s="43"/>
      <c r="RZ19" s="43"/>
      <c r="SA19" s="43"/>
      <c r="SB19" s="43"/>
      <c r="SC19" s="43"/>
      <c r="SD19" s="43"/>
      <c r="SE19" s="43"/>
      <c r="SF19" s="43"/>
      <c r="SG19" s="43"/>
      <c r="SH19" s="43"/>
      <c r="SI19" s="43"/>
      <c r="SJ19" s="43"/>
      <c r="SK19" s="43"/>
      <c r="SL19" s="43"/>
      <c r="SM19" s="43"/>
      <c r="SN19" s="43"/>
      <c r="SO19" s="43"/>
      <c r="SP19" s="43"/>
      <c r="SQ19" s="43"/>
      <c r="SR19" s="43"/>
      <c r="SS19" s="43"/>
      <c r="ST19" s="43"/>
      <c r="SU19" s="43"/>
      <c r="SV19" s="43"/>
      <c r="SW19" s="43"/>
      <c r="SX19" s="43"/>
      <c r="SY19" s="43"/>
      <c r="SZ19" s="43"/>
      <c r="TA19" s="43"/>
      <c r="TB19" s="43"/>
      <c r="TC19" s="43"/>
      <c r="TD19" s="43"/>
      <c r="TE19" s="43"/>
      <c r="TF19" s="43"/>
      <c r="TG19" s="43"/>
      <c r="TH19" s="43"/>
      <c r="TI19" s="43"/>
      <c r="TJ19" s="43"/>
      <c r="TK19" s="43"/>
      <c r="TL19" s="43"/>
      <c r="TM19" s="43"/>
      <c r="TN19" s="43"/>
      <c r="TO19" s="43"/>
      <c r="TP19" s="43"/>
      <c r="TQ19" s="43"/>
      <c r="TR19" s="43"/>
      <c r="TS19" s="43"/>
      <c r="TT19" s="43"/>
      <c r="TU19" s="43"/>
      <c r="TV19" s="43"/>
      <c r="TW19" s="43"/>
      <c r="TX19" s="43"/>
      <c r="TY19" s="43"/>
      <c r="TZ19" s="43"/>
      <c r="UA19" s="43"/>
      <c r="UB19" s="43"/>
      <c r="UC19" s="43"/>
      <c r="UD19" s="43"/>
      <c r="UE19" s="43"/>
      <c r="UF19" s="43"/>
      <c r="UG19" s="43"/>
      <c r="UH19" s="43"/>
      <c r="UI19" s="43"/>
      <c r="UJ19" s="43"/>
      <c r="UK19" s="43"/>
      <c r="UL19" s="43"/>
      <c r="UM19" s="43"/>
      <c r="UN19" s="43"/>
      <c r="UO19" s="43"/>
      <c r="UP19" s="43"/>
      <c r="UQ19" s="43"/>
      <c r="UR19" s="43"/>
      <c r="US19" s="43"/>
      <c r="UT19" s="43"/>
      <c r="UU19" s="43"/>
      <c r="UV19" s="43"/>
      <c r="UW19" s="43"/>
      <c r="UX19" s="43"/>
      <c r="UY19" s="43"/>
      <c r="UZ19" s="43"/>
      <c r="VA19" s="43"/>
      <c r="VB19" s="43"/>
      <c r="VC19" s="43"/>
      <c r="VD19" s="43"/>
      <c r="VE19" s="43"/>
      <c r="VF19" s="43"/>
      <c r="VG19" s="43"/>
      <c r="VH19" s="43"/>
      <c r="VI19" s="43"/>
      <c r="VJ19" s="43"/>
      <c r="VK19" s="43"/>
      <c r="VL19" s="43"/>
      <c r="VM19" s="43"/>
      <c r="VN19" s="43"/>
      <c r="VO19" s="43"/>
      <c r="VP19" s="43"/>
      <c r="VQ19" s="43"/>
      <c r="VR19" s="43"/>
      <c r="VS19" s="43"/>
      <c r="VT19" s="43"/>
      <c r="VU19" s="43"/>
      <c r="VV19" s="43"/>
      <c r="VW19" s="43"/>
      <c r="VX19" s="43"/>
      <c r="VY19" s="43"/>
      <c r="VZ19" s="43"/>
      <c r="WA19" s="43"/>
      <c r="WB19" s="43"/>
      <c r="WC19" s="43"/>
      <c r="WD19" s="43"/>
      <c r="WE19" s="43"/>
      <c r="WF19" s="43"/>
      <c r="WG19" s="43"/>
      <c r="WH19" s="43"/>
      <c r="WI19" s="43"/>
      <c r="WJ19" s="43"/>
      <c r="WK19" s="43"/>
      <c r="WL19" s="43"/>
      <c r="WM19" s="43"/>
      <c r="WN19" s="43"/>
      <c r="WO19" s="43"/>
      <c r="WP19" s="43"/>
      <c r="WQ19" s="43"/>
      <c r="WR19" s="43"/>
      <c r="WS19" s="43"/>
      <c r="WT19" s="43"/>
      <c r="WU19" s="43"/>
      <c r="WV19" s="43"/>
      <c r="WW19" s="43"/>
      <c r="WX19" s="43"/>
      <c r="WY19" s="43"/>
      <c r="WZ19" s="43"/>
      <c r="XA19" s="43"/>
      <c r="XB19" s="43"/>
      <c r="XC19" s="43"/>
      <c r="XD19" s="43"/>
      <c r="XE19" s="43"/>
      <c r="XF19" s="43"/>
      <c r="XG19" s="43"/>
      <c r="XH19" s="43"/>
      <c r="XI19" s="43"/>
      <c r="XJ19" s="43"/>
      <c r="XK19" s="43"/>
      <c r="XL19" s="43"/>
      <c r="XM19" s="43"/>
      <c r="XN19" s="43"/>
      <c r="XO19" s="43"/>
      <c r="XP19" s="43"/>
      <c r="XQ19" s="43"/>
      <c r="XR19" s="43"/>
      <c r="XS19" s="43"/>
      <c r="XT19" s="43"/>
      <c r="XU19" s="43"/>
      <c r="XV19" s="43"/>
      <c r="XW19" s="43"/>
      <c r="XX19" s="43"/>
      <c r="XY19" s="43"/>
      <c r="XZ19" s="43"/>
      <c r="YA19" s="43"/>
      <c r="YB19" s="43"/>
      <c r="YC19" s="43"/>
      <c r="YD19" s="43"/>
      <c r="YE19" s="43"/>
      <c r="YF19" s="43"/>
      <c r="YG19" s="43"/>
      <c r="YH19" s="43"/>
      <c r="YI19" s="43"/>
      <c r="YJ19" s="43"/>
      <c r="YK19" s="43"/>
      <c r="YL19" s="43"/>
      <c r="YM19" s="43"/>
      <c r="YN19" s="43"/>
      <c r="YO19" s="43"/>
      <c r="YP19" s="43"/>
      <c r="YQ19" s="43"/>
      <c r="YR19" s="43"/>
      <c r="YS19" s="43"/>
      <c r="YT19" s="43"/>
      <c r="YU19" s="43"/>
      <c r="YV19" s="43"/>
      <c r="YW19" s="43"/>
      <c r="YX19" s="43"/>
      <c r="YY19" s="43"/>
      <c r="YZ19" s="43"/>
      <c r="ZA19" s="43"/>
      <c r="ZB19" s="43"/>
      <c r="ZC19" s="43"/>
      <c r="ZD19" s="43"/>
      <c r="ZE19" s="43"/>
      <c r="ZF19" s="43"/>
      <c r="ZG19" s="43"/>
      <c r="ZH19" s="43"/>
      <c r="ZI19" s="43"/>
      <c r="ZJ19" s="43"/>
      <c r="ZK19" s="43"/>
      <c r="ZL19" s="43"/>
      <c r="ZM19" s="43"/>
      <c r="ZN19" s="43"/>
      <c r="ZO19" s="43"/>
      <c r="ZP19" s="43"/>
      <c r="ZQ19" s="43"/>
      <c r="ZR19" s="43"/>
      <c r="ZS19" s="43"/>
      <c r="ZT19" s="43"/>
      <c r="ZU19" s="43"/>
      <c r="ZV19" s="43"/>
      <c r="ZW19" s="43"/>
      <c r="ZX19" s="43"/>
      <c r="ZY19" s="43"/>
      <c r="ZZ19" s="43"/>
      <c r="AAA19" s="43"/>
      <c r="AAB19" s="43"/>
      <c r="AAC19" s="43"/>
      <c r="AAD19" s="43"/>
      <c r="AAE19" s="43"/>
      <c r="AAF19" s="43"/>
      <c r="AAG19" s="43"/>
      <c r="AAH19" s="43"/>
      <c r="AAI19" s="43"/>
      <c r="AAJ19" s="43"/>
      <c r="AAK19" s="43"/>
      <c r="AAL19" s="43"/>
      <c r="AAM19" s="43"/>
      <c r="AAN19" s="43"/>
      <c r="AAO19" s="43"/>
      <c r="AAP19" s="43"/>
      <c r="AAQ19" s="43"/>
      <c r="AAR19" s="43"/>
      <c r="AAS19" s="43"/>
      <c r="AAT19" s="43"/>
      <c r="AAU19" s="43"/>
      <c r="AAV19" s="43"/>
      <c r="AAW19" s="43"/>
      <c r="AAX19" s="43"/>
      <c r="AAY19" s="43"/>
      <c r="AAZ19" s="43"/>
      <c r="ABA19" s="43"/>
      <c r="ABB19" s="43"/>
      <c r="ABC19" s="43"/>
      <c r="ABD19" s="43"/>
      <c r="ABE19" s="43"/>
      <c r="ABF19" s="43"/>
      <c r="ABG19" s="43"/>
      <c r="ABH19" s="43"/>
      <c r="ABI19" s="43"/>
      <c r="ABJ19" s="43"/>
      <c r="ABK19" s="43"/>
      <c r="ABL19" s="43"/>
      <c r="ABM19" s="43"/>
      <c r="ABN19" s="43"/>
      <c r="ABO19" s="43"/>
      <c r="ABP19" s="43"/>
      <c r="ABQ19" s="43"/>
      <c r="ABR19" s="43"/>
      <c r="ABS19" s="43"/>
      <c r="ABT19" s="43"/>
      <c r="ABU19" s="43"/>
      <c r="ABV19" s="43"/>
      <c r="ABW19" s="43"/>
      <c r="ABX19" s="43"/>
      <c r="ABY19" s="43"/>
      <c r="ABZ19" s="43"/>
      <c r="ACA19" s="43"/>
      <c r="ACB19" s="43"/>
      <c r="ACC19" s="43"/>
      <c r="ACD19" s="43"/>
      <c r="ACE19" s="43"/>
      <c r="ACF19" s="43"/>
      <c r="ACG19" s="43"/>
      <c r="ACH19" s="43"/>
      <c r="ACI19" s="43"/>
      <c r="ACJ19" s="43"/>
      <c r="ACK19" s="43"/>
      <c r="ACL19" s="43"/>
      <c r="ACM19" s="43"/>
      <c r="ACN19" s="43"/>
      <c r="ACO19" s="43"/>
      <c r="ACP19" s="43"/>
      <c r="ACQ19" s="43"/>
      <c r="ACR19" s="43"/>
      <c r="ACS19" s="43"/>
      <c r="ACT19" s="43"/>
      <c r="ACU19" s="43"/>
      <c r="ACV19" s="43"/>
      <c r="ACW19" s="43"/>
      <c r="ACX19" s="43"/>
      <c r="ACY19" s="43"/>
      <c r="ACZ19" s="43"/>
      <c r="ADA19" s="43"/>
      <c r="ADB19" s="43"/>
      <c r="ADC19" s="43"/>
      <c r="ADD19" s="43"/>
      <c r="ADE19" s="43"/>
      <c r="ADF19" s="43"/>
      <c r="ADG19" s="43"/>
      <c r="ADH19" s="43"/>
      <c r="ADI19" s="43"/>
      <c r="ADJ19" s="43"/>
      <c r="ADK19" s="43"/>
      <c r="ADL19" s="43"/>
      <c r="ADM19" s="43"/>
      <c r="ADN19" s="43"/>
      <c r="ADO19" s="43"/>
      <c r="ADP19" s="43"/>
      <c r="ADQ19" s="43"/>
      <c r="ADR19" s="43"/>
      <c r="ADS19" s="43"/>
      <c r="ADT19" s="43"/>
      <c r="ADU19" s="43"/>
      <c r="ADV19" s="43"/>
      <c r="ADW19" s="43"/>
      <c r="ADX19" s="43"/>
      <c r="ADY19" s="43"/>
      <c r="ADZ19" s="43"/>
      <c r="AEA19" s="43"/>
      <c r="AEB19" s="43"/>
      <c r="AEC19" s="43"/>
      <c r="AED19" s="43"/>
      <c r="AEE19" s="43"/>
      <c r="AEF19" s="43"/>
      <c r="AEG19" s="43"/>
      <c r="AEH19" s="43"/>
      <c r="AEI19" s="43"/>
      <c r="AEJ19" s="43"/>
      <c r="AEK19" s="43"/>
      <c r="AEL19" s="43"/>
      <c r="AEM19" s="43"/>
      <c r="AEN19" s="43"/>
      <c r="AEO19" s="43"/>
      <c r="AEP19" s="43"/>
      <c r="AEQ19" s="43"/>
      <c r="AER19" s="43"/>
      <c r="AES19" s="43"/>
      <c r="AET19" s="43"/>
      <c r="AEU19" s="43"/>
      <c r="AEV19" s="43"/>
      <c r="AEW19" s="43"/>
      <c r="AEX19" s="43"/>
      <c r="AEY19" s="43"/>
      <c r="AEZ19" s="43"/>
      <c r="AFA19" s="43"/>
      <c r="AFB19" s="43"/>
      <c r="AFC19" s="43"/>
      <c r="AFD19" s="43"/>
      <c r="AFE19" s="43"/>
      <c r="AFF19" s="43"/>
      <c r="AFG19" s="43"/>
      <c r="AFH19" s="43"/>
      <c r="AFI19" s="43"/>
      <c r="AFJ19" s="43"/>
      <c r="AFK19" s="43"/>
      <c r="AFL19" s="43"/>
      <c r="AFM19" s="43"/>
      <c r="AFN19" s="43"/>
      <c r="AFO19" s="43"/>
      <c r="AFP19" s="43"/>
      <c r="AFQ19" s="43"/>
      <c r="AFR19" s="43"/>
      <c r="AFS19" s="43"/>
      <c r="AFT19" s="43"/>
      <c r="AFU19" s="43"/>
      <c r="AFV19" s="43"/>
      <c r="AFW19" s="43"/>
      <c r="AFX19" s="43"/>
      <c r="AFY19" s="43"/>
      <c r="AFZ19" s="43"/>
      <c r="AGA19" s="43"/>
      <c r="AGB19" s="43"/>
      <c r="AGC19" s="43"/>
      <c r="AGD19" s="43"/>
      <c r="AGE19" s="43"/>
      <c r="AGF19" s="43"/>
      <c r="AGG19" s="43"/>
      <c r="AGH19" s="43"/>
      <c r="AGI19" s="43"/>
      <c r="AGJ19" s="43"/>
      <c r="AGK19" s="43"/>
      <c r="AGL19" s="43"/>
      <c r="AGM19" s="43"/>
      <c r="AGN19" s="43"/>
      <c r="AGO19" s="43"/>
      <c r="AGP19" s="43"/>
      <c r="AGQ19" s="43"/>
      <c r="AGR19" s="43"/>
      <c r="AGS19" s="43"/>
      <c r="AGT19" s="43"/>
      <c r="AGU19" s="43"/>
      <c r="AGV19" s="43"/>
      <c r="AGW19" s="43"/>
      <c r="AGX19" s="43"/>
      <c r="AGY19" s="43"/>
      <c r="AGZ19" s="43"/>
      <c r="AHA19" s="43"/>
      <c r="AHB19" s="43"/>
      <c r="AHC19" s="43"/>
      <c r="AHD19" s="43"/>
      <c r="AHE19" s="43"/>
      <c r="AHF19" s="43"/>
      <c r="AHG19" s="43"/>
      <c r="AHH19" s="43"/>
      <c r="AHI19" s="43"/>
      <c r="AHJ19" s="43"/>
      <c r="AHK19" s="43"/>
      <c r="AHL19" s="43"/>
      <c r="AHM19" s="43"/>
      <c r="AHN19" s="43"/>
      <c r="AHO19" s="43"/>
      <c r="AHP19" s="43"/>
      <c r="AHQ19" s="43"/>
      <c r="AHR19" s="43"/>
      <c r="AHS19" s="43"/>
      <c r="AHT19" s="43"/>
      <c r="AHU19" s="43"/>
      <c r="AHV19" s="43"/>
      <c r="AHW19" s="43"/>
      <c r="AHX19" s="43"/>
      <c r="AHY19" s="43"/>
      <c r="AHZ19" s="43"/>
      <c r="AIA19" s="43"/>
      <c r="AIB19" s="43"/>
      <c r="AIC19" s="43"/>
      <c r="AID19" s="43"/>
      <c r="AIE19" s="43"/>
      <c r="AIF19" s="43"/>
      <c r="AIG19" s="43"/>
      <c r="AIH19" s="43"/>
      <c r="AII19" s="43"/>
      <c r="AIJ19" s="43"/>
      <c r="AIK19" s="43"/>
      <c r="AIL19" s="43"/>
      <c r="AIM19" s="43"/>
      <c r="AIN19" s="43"/>
      <c r="AIO19" s="43"/>
      <c r="AIP19" s="43"/>
      <c r="AIQ19" s="43"/>
      <c r="AIR19" s="43"/>
      <c r="AIS19" s="43"/>
      <c r="AIT19" s="43"/>
      <c r="AIU19" s="43"/>
      <c r="AIV19" s="43"/>
      <c r="AIW19" s="43"/>
      <c r="AIX19" s="43"/>
      <c r="AIY19" s="43"/>
      <c r="AIZ19" s="43"/>
      <c r="AJA19" s="43"/>
      <c r="AJB19" s="43"/>
      <c r="AJC19" s="43"/>
      <c r="AJD19" s="43"/>
      <c r="AJE19" s="43"/>
      <c r="AJF19" s="43"/>
      <c r="AJG19" s="43"/>
      <c r="AJH19" s="43"/>
      <c r="AJI19" s="43"/>
      <c r="AJJ19" s="43"/>
      <c r="AJK19" s="43"/>
      <c r="AJL19" s="43"/>
      <c r="AJM19" s="43"/>
      <c r="AJN19" s="43"/>
      <c r="AJO19" s="43"/>
      <c r="AJP19" s="43"/>
      <c r="AJQ19" s="43"/>
      <c r="AJR19" s="43"/>
      <c r="AJS19" s="43"/>
      <c r="AJT19" s="43"/>
      <c r="AJU19" s="43"/>
      <c r="AJV19" s="43"/>
      <c r="AJW19" s="43"/>
      <c r="AJX19" s="43"/>
      <c r="AJY19" s="43"/>
      <c r="AJZ19" s="43"/>
      <c r="AKA19" s="43"/>
      <c r="AKB19" s="43"/>
      <c r="AKC19" s="43"/>
      <c r="AKD19" s="43"/>
      <c r="AKE19" s="43"/>
      <c r="AKF19" s="43"/>
      <c r="AKG19" s="43"/>
      <c r="AKH19" s="43"/>
      <c r="AKI19" s="43"/>
      <c r="AKJ19" s="43"/>
      <c r="AKK19" s="43"/>
      <c r="AKL19" s="43"/>
      <c r="AKM19" s="43"/>
      <c r="AKN19" s="43"/>
      <c r="AKO19" s="43"/>
      <c r="AKP19" s="43"/>
      <c r="AKQ19" s="43"/>
      <c r="AKR19" s="43"/>
      <c r="AKS19" s="43"/>
      <c r="AKT19" s="43"/>
      <c r="AKU19" s="43"/>
      <c r="AKV19" s="43"/>
      <c r="AKW19" s="43"/>
      <c r="AKX19" s="43"/>
      <c r="AKY19" s="43"/>
      <c r="AKZ19" s="43"/>
      <c r="ALA19" s="43"/>
      <c r="ALB19" s="43"/>
      <c r="ALC19" s="43"/>
      <c r="ALD19" s="43"/>
      <c r="ALE19" s="43"/>
      <c r="ALF19" s="43"/>
      <c r="ALG19" s="43"/>
      <c r="ALH19" s="43"/>
      <c r="ALI19" s="43"/>
      <c r="ALJ19" s="43"/>
      <c r="ALK19" s="43"/>
      <c r="ALL19" s="43"/>
      <c r="ALM19" s="43"/>
      <c r="ALN19" s="43"/>
      <c r="ALO19" s="43"/>
      <c r="ALP19" s="43"/>
      <c r="ALQ19" s="43"/>
      <c r="ALR19" s="43"/>
      <c r="ALS19" s="43"/>
      <c r="ALT19" s="43"/>
      <c r="ALU19" s="43"/>
      <c r="ALV19" s="43"/>
      <c r="ALW19" s="43"/>
      <c r="ALX19" s="43"/>
      <c r="ALY19" s="43"/>
      <c r="ALZ19" s="43"/>
      <c r="AMA19" s="43"/>
      <c r="AMB19" s="43"/>
      <c r="AMC19" s="43"/>
      <c r="AMD19" s="43"/>
      <c r="AME19" s="43"/>
      <c r="AMF19" s="43"/>
      <c r="AMG19" s="43"/>
      <c r="AMH19" s="43"/>
      <c r="AMI19" s="43"/>
    </row>
    <row r="20" spans="1:1024" s="93" customFormat="1" ht="30" x14ac:dyDescent="0.25">
      <c r="A20" s="50" t="s">
        <v>9</v>
      </c>
      <c r="B20" s="47">
        <f>' KESZI ktgvetési mérleg'!F24</f>
        <v>289209595</v>
      </c>
      <c r="C20" s="47">
        <f>' KESZI ktgvetési mérleg'!E40+' KESZI ktgvetési mérleg'!E41+' KESZI ktgvetési mérleg'!E42+' KESZI ktgvetési mérleg'!E43+' KESZI ktgvetési mérleg'!E44+' KESZI ktgvetési mérleg'!E45+' KESZI ktgvetési mérleg'!E46+' KESZI ktgvetési mérleg'!E47+' KESZI ktgvetési mérleg'!E51+' KESZI ktgvetési mérleg'!E52+' KESZI ktgvetési mérleg'!E53</f>
        <v>358874878</v>
      </c>
      <c r="D20" s="51">
        <f>' KESZI ktgvetési mérleg'!E48</f>
        <v>8677908</v>
      </c>
      <c r="E20" s="47">
        <f>' KESZI ktgvetési mérleg'!E50+' KESZI ktgvetési mérleg'!F28+' KESZI ktgvetési mérleg'!F25+4295812</f>
        <v>87133564</v>
      </c>
      <c r="F20" s="47">
        <f>' KESZI ktgvetési mérleg'!E49</f>
        <v>24879440</v>
      </c>
      <c r="G20" s="51">
        <f>' KESZI ktgvetési mérleg'!F33-14700012</f>
        <v>66996272</v>
      </c>
      <c r="H20" s="47">
        <f>SUM(B20:G20)</f>
        <v>835771657</v>
      </c>
      <c r="I20" s="139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  <c r="IX20" s="43"/>
      <c r="IY20" s="43"/>
      <c r="IZ20" s="43"/>
      <c r="JA20" s="43"/>
      <c r="JB20" s="43"/>
      <c r="JC20" s="43"/>
      <c r="JD20" s="43"/>
      <c r="JE20" s="43"/>
      <c r="JF20" s="43"/>
      <c r="JG20" s="43"/>
      <c r="JH20" s="43"/>
      <c r="JI20" s="43"/>
      <c r="JJ20" s="43"/>
      <c r="JK20" s="43"/>
      <c r="JL20" s="43"/>
      <c r="JM20" s="43"/>
      <c r="JN20" s="43"/>
      <c r="JO20" s="43"/>
      <c r="JP20" s="43"/>
      <c r="JQ20" s="43"/>
      <c r="JR20" s="43"/>
      <c r="JS20" s="43"/>
      <c r="JT20" s="43"/>
      <c r="JU20" s="43"/>
      <c r="JV20" s="43"/>
      <c r="JW20" s="43"/>
      <c r="JX20" s="43"/>
      <c r="JY20" s="43"/>
      <c r="JZ20" s="43"/>
      <c r="KA20" s="43"/>
      <c r="KB20" s="43"/>
      <c r="KC20" s="43"/>
      <c r="KD20" s="43"/>
      <c r="KE20" s="43"/>
      <c r="KF20" s="43"/>
      <c r="KG20" s="43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  <c r="RS20" s="43"/>
      <c r="RT20" s="43"/>
      <c r="RU20" s="43"/>
      <c r="RV20" s="43"/>
      <c r="RW20" s="43"/>
      <c r="RX20" s="43"/>
      <c r="RY20" s="43"/>
      <c r="RZ20" s="43"/>
      <c r="SA20" s="43"/>
      <c r="SB20" s="43"/>
      <c r="SC20" s="43"/>
      <c r="SD20" s="43"/>
      <c r="SE20" s="43"/>
      <c r="SF20" s="43"/>
      <c r="SG20" s="43"/>
      <c r="SH20" s="43"/>
      <c r="SI20" s="43"/>
      <c r="SJ20" s="43"/>
      <c r="SK20" s="43"/>
      <c r="SL20" s="43"/>
      <c r="SM20" s="43"/>
      <c r="SN20" s="43"/>
      <c r="SO20" s="43"/>
      <c r="SP20" s="43"/>
      <c r="SQ20" s="43"/>
      <c r="SR20" s="43"/>
      <c r="SS20" s="43"/>
      <c r="ST20" s="43"/>
      <c r="SU20" s="43"/>
      <c r="SV20" s="43"/>
      <c r="SW20" s="43"/>
      <c r="SX20" s="43"/>
      <c r="SY20" s="43"/>
      <c r="SZ20" s="43"/>
      <c r="TA20" s="43"/>
      <c r="TB20" s="43"/>
      <c r="TC20" s="43"/>
      <c r="TD20" s="43"/>
      <c r="TE20" s="43"/>
      <c r="TF20" s="43"/>
      <c r="TG20" s="43"/>
      <c r="TH20" s="43"/>
      <c r="TI20" s="43"/>
      <c r="TJ20" s="43"/>
      <c r="TK20" s="43"/>
      <c r="TL20" s="43"/>
      <c r="TM20" s="43"/>
      <c r="TN20" s="43"/>
      <c r="TO20" s="43"/>
      <c r="TP20" s="43"/>
      <c r="TQ20" s="43"/>
      <c r="TR20" s="43"/>
      <c r="TS20" s="43"/>
      <c r="TT20" s="43"/>
      <c r="TU20" s="43"/>
      <c r="TV20" s="43"/>
      <c r="TW20" s="43"/>
      <c r="TX20" s="43"/>
      <c r="TY20" s="43"/>
      <c r="TZ20" s="43"/>
      <c r="UA20" s="43"/>
      <c r="UB20" s="43"/>
      <c r="UC20" s="43"/>
      <c r="UD20" s="43"/>
      <c r="UE20" s="43"/>
      <c r="UF20" s="43"/>
      <c r="UG20" s="43"/>
      <c r="UH20" s="43"/>
      <c r="UI20" s="43"/>
      <c r="UJ20" s="43"/>
      <c r="UK20" s="43"/>
      <c r="UL20" s="43"/>
      <c r="UM20" s="43"/>
      <c r="UN20" s="43"/>
      <c r="UO20" s="43"/>
      <c r="UP20" s="43"/>
      <c r="UQ20" s="43"/>
      <c r="UR20" s="43"/>
      <c r="US20" s="43"/>
      <c r="UT20" s="43"/>
      <c r="UU20" s="43"/>
      <c r="UV20" s="43"/>
      <c r="UW20" s="43"/>
      <c r="UX20" s="43"/>
      <c r="UY20" s="43"/>
      <c r="UZ20" s="43"/>
      <c r="VA20" s="43"/>
      <c r="VB20" s="43"/>
      <c r="VC20" s="43"/>
      <c r="VD20" s="43"/>
      <c r="VE20" s="43"/>
      <c r="VF20" s="43"/>
      <c r="VG20" s="43"/>
      <c r="VH20" s="43"/>
      <c r="VI20" s="43"/>
      <c r="VJ20" s="43"/>
      <c r="VK20" s="43"/>
      <c r="VL20" s="43"/>
      <c r="VM20" s="43"/>
      <c r="VN20" s="43"/>
      <c r="VO20" s="43"/>
      <c r="VP20" s="43"/>
      <c r="VQ20" s="43"/>
      <c r="VR20" s="43"/>
      <c r="VS20" s="43"/>
      <c r="VT20" s="43"/>
      <c r="VU20" s="43"/>
      <c r="VV20" s="43"/>
      <c r="VW20" s="43"/>
      <c r="VX20" s="43"/>
      <c r="VY20" s="43"/>
      <c r="VZ20" s="43"/>
      <c r="WA20" s="43"/>
      <c r="WB20" s="43"/>
      <c r="WC20" s="43"/>
      <c r="WD20" s="43"/>
      <c r="WE20" s="43"/>
      <c r="WF20" s="43"/>
      <c r="WG20" s="43"/>
      <c r="WH20" s="43"/>
      <c r="WI20" s="43"/>
      <c r="WJ20" s="43"/>
      <c r="WK20" s="43"/>
      <c r="WL20" s="43"/>
      <c r="WM20" s="43"/>
      <c r="WN20" s="43"/>
      <c r="WO20" s="43"/>
      <c r="WP20" s="43"/>
      <c r="WQ20" s="43"/>
      <c r="WR20" s="43"/>
      <c r="WS20" s="43"/>
      <c r="WT20" s="43"/>
      <c r="WU20" s="43"/>
      <c r="WV20" s="43"/>
      <c r="WW20" s="43"/>
      <c r="WX20" s="43"/>
      <c r="WY20" s="43"/>
      <c r="WZ20" s="43"/>
      <c r="XA20" s="43"/>
      <c r="XB20" s="43"/>
      <c r="XC20" s="43"/>
      <c r="XD20" s="43"/>
      <c r="XE20" s="43"/>
      <c r="XF20" s="43"/>
      <c r="XG20" s="43"/>
      <c r="XH20" s="43"/>
      <c r="XI20" s="43"/>
      <c r="XJ20" s="43"/>
      <c r="XK20" s="43"/>
      <c r="XL20" s="43"/>
      <c r="XM20" s="43"/>
      <c r="XN20" s="43"/>
      <c r="XO20" s="43"/>
      <c r="XP20" s="43"/>
      <c r="XQ20" s="43"/>
      <c r="XR20" s="43"/>
      <c r="XS20" s="43"/>
      <c r="XT20" s="43"/>
      <c r="XU20" s="43"/>
      <c r="XV20" s="43"/>
      <c r="XW20" s="43"/>
      <c r="XX20" s="43"/>
      <c r="XY20" s="43"/>
      <c r="XZ20" s="43"/>
      <c r="YA20" s="43"/>
      <c r="YB20" s="43"/>
      <c r="YC20" s="43"/>
      <c r="YD20" s="43"/>
      <c r="YE20" s="43"/>
      <c r="YF20" s="43"/>
      <c r="YG20" s="43"/>
      <c r="YH20" s="43"/>
      <c r="YI20" s="43"/>
      <c r="YJ20" s="43"/>
      <c r="YK20" s="43"/>
      <c r="YL20" s="43"/>
      <c r="YM20" s="43"/>
      <c r="YN20" s="43"/>
      <c r="YO20" s="43"/>
      <c r="YP20" s="43"/>
      <c r="YQ20" s="43"/>
      <c r="YR20" s="43"/>
      <c r="YS20" s="43"/>
      <c r="YT20" s="43"/>
      <c r="YU20" s="43"/>
      <c r="YV20" s="43"/>
      <c r="YW20" s="43"/>
      <c r="YX20" s="43"/>
      <c r="YY20" s="43"/>
      <c r="YZ20" s="43"/>
      <c r="ZA20" s="43"/>
      <c r="ZB20" s="43"/>
      <c r="ZC20" s="43"/>
      <c r="ZD20" s="43"/>
      <c r="ZE20" s="43"/>
      <c r="ZF20" s="43"/>
      <c r="ZG20" s="43"/>
      <c r="ZH20" s="43"/>
      <c r="ZI20" s="43"/>
      <c r="ZJ20" s="43"/>
      <c r="ZK20" s="43"/>
      <c r="ZL20" s="43"/>
      <c r="ZM20" s="43"/>
      <c r="ZN20" s="43"/>
      <c r="ZO20" s="43"/>
      <c r="ZP20" s="43"/>
      <c r="ZQ20" s="43"/>
      <c r="ZR20" s="43"/>
      <c r="ZS20" s="43"/>
      <c r="ZT20" s="43"/>
      <c r="ZU20" s="43"/>
      <c r="ZV20" s="43"/>
      <c r="ZW20" s="43"/>
      <c r="ZX20" s="43"/>
      <c r="ZY20" s="43"/>
      <c r="ZZ20" s="43"/>
      <c r="AAA20" s="43"/>
      <c r="AAB20" s="43"/>
      <c r="AAC20" s="43"/>
      <c r="AAD20" s="43"/>
      <c r="AAE20" s="43"/>
      <c r="AAF20" s="43"/>
      <c r="AAG20" s="43"/>
      <c r="AAH20" s="43"/>
      <c r="AAI20" s="43"/>
      <c r="AAJ20" s="43"/>
      <c r="AAK20" s="43"/>
      <c r="AAL20" s="43"/>
      <c r="AAM20" s="43"/>
      <c r="AAN20" s="43"/>
      <c r="AAO20" s="43"/>
      <c r="AAP20" s="43"/>
      <c r="AAQ20" s="43"/>
      <c r="AAR20" s="43"/>
      <c r="AAS20" s="43"/>
      <c r="AAT20" s="43"/>
      <c r="AAU20" s="43"/>
      <c r="AAV20" s="43"/>
      <c r="AAW20" s="43"/>
      <c r="AAX20" s="43"/>
      <c r="AAY20" s="43"/>
      <c r="AAZ20" s="43"/>
      <c r="ABA20" s="43"/>
      <c r="ABB20" s="43"/>
      <c r="ABC20" s="43"/>
      <c r="ABD20" s="43"/>
      <c r="ABE20" s="43"/>
      <c r="ABF20" s="43"/>
      <c r="ABG20" s="43"/>
      <c r="ABH20" s="43"/>
      <c r="ABI20" s="43"/>
      <c r="ABJ20" s="43"/>
      <c r="ABK20" s="43"/>
      <c r="ABL20" s="43"/>
      <c r="ABM20" s="43"/>
      <c r="ABN20" s="43"/>
      <c r="ABO20" s="43"/>
      <c r="ABP20" s="43"/>
      <c r="ABQ20" s="43"/>
      <c r="ABR20" s="43"/>
      <c r="ABS20" s="43"/>
      <c r="ABT20" s="43"/>
      <c r="ABU20" s="43"/>
      <c r="ABV20" s="43"/>
      <c r="ABW20" s="43"/>
      <c r="ABX20" s="43"/>
      <c r="ABY20" s="43"/>
      <c r="ABZ20" s="43"/>
      <c r="ACA20" s="43"/>
      <c r="ACB20" s="43"/>
      <c r="ACC20" s="43"/>
      <c r="ACD20" s="43"/>
      <c r="ACE20" s="43"/>
      <c r="ACF20" s="43"/>
      <c r="ACG20" s="43"/>
      <c r="ACH20" s="43"/>
      <c r="ACI20" s="43"/>
      <c r="ACJ20" s="43"/>
      <c r="ACK20" s="43"/>
      <c r="ACL20" s="43"/>
      <c r="ACM20" s="43"/>
      <c r="ACN20" s="43"/>
      <c r="ACO20" s="43"/>
      <c r="ACP20" s="43"/>
      <c r="ACQ20" s="43"/>
      <c r="ACR20" s="43"/>
      <c r="ACS20" s="43"/>
      <c r="ACT20" s="43"/>
      <c r="ACU20" s="43"/>
      <c r="ACV20" s="43"/>
      <c r="ACW20" s="43"/>
      <c r="ACX20" s="43"/>
      <c r="ACY20" s="43"/>
      <c r="ACZ20" s="43"/>
      <c r="ADA20" s="43"/>
      <c r="ADB20" s="43"/>
      <c r="ADC20" s="43"/>
      <c r="ADD20" s="43"/>
      <c r="ADE20" s="43"/>
      <c r="ADF20" s="43"/>
      <c r="ADG20" s="43"/>
      <c r="ADH20" s="43"/>
      <c r="ADI20" s="43"/>
      <c r="ADJ20" s="43"/>
      <c r="ADK20" s="43"/>
      <c r="ADL20" s="43"/>
      <c r="ADM20" s="43"/>
      <c r="ADN20" s="43"/>
      <c r="ADO20" s="43"/>
      <c r="ADP20" s="43"/>
      <c r="ADQ20" s="43"/>
      <c r="ADR20" s="43"/>
      <c r="ADS20" s="43"/>
      <c r="ADT20" s="43"/>
      <c r="ADU20" s="43"/>
      <c r="ADV20" s="43"/>
      <c r="ADW20" s="43"/>
      <c r="ADX20" s="43"/>
      <c r="ADY20" s="43"/>
      <c r="ADZ20" s="43"/>
      <c r="AEA20" s="43"/>
      <c r="AEB20" s="43"/>
      <c r="AEC20" s="43"/>
      <c r="AED20" s="43"/>
      <c r="AEE20" s="43"/>
      <c r="AEF20" s="43"/>
      <c r="AEG20" s="43"/>
      <c r="AEH20" s="43"/>
      <c r="AEI20" s="43"/>
      <c r="AEJ20" s="43"/>
      <c r="AEK20" s="43"/>
      <c r="AEL20" s="43"/>
      <c r="AEM20" s="43"/>
      <c r="AEN20" s="43"/>
      <c r="AEO20" s="43"/>
      <c r="AEP20" s="43"/>
      <c r="AEQ20" s="43"/>
      <c r="AER20" s="43"/>
      <c r="AES20" s="43"/>
      <c r="AET20" s="43"/>
      <c r="AEU20" s="43"/>
      <c r="AEV20" s="43"/>
      <c r="AEW20" s="43"/>
      <c r="AEX20" s="43"/>
      <c r="AEY20" s="43"/>
      <c r="AEZ20" s="43"/>
      <c r="AFA20" s="43"/>
      <c r="AFB20" s="43"/>
      <c r="AFC20" s="43"/>
      <c r="AFD20" s="43"/>
      <c r="AFE20" s="43"/>
      <c r="AFF20" s="43"/>
      <c r="AFG20" s="43"/>
      <c r="AFH20" s="43"/>
      <c r="AFI20" s="43"/>
      <c r="AFJ20" s="43"/>
      <c r="AFK20" s="43"/>
      <c r="AFL20" s="43"/>
      <c r="AFM20" s="43"/>
      <c r="AFN20" s="43"/>
      <c r="AFO20" s="43"/>
      <c r="AFP20" s="43"/>
      <c r="AFQ20" s="43"/>
      <c r="AFR20" s="43"/>
      <c r="AFS20" s="43"/>
      <c r="AFT20" s="43"/>
      <c r="AFU20" s="43"/>
      <c r="AFV20" s="43"/>
      <c r="AFW20" s="43"/>
      <c r="AFX20" s="43"/>
      <c r="AFY20" s="43"/>
      <c r="AFZ20" s="43"/>
      <c r="AGA20" s="43"/>
      <c r="AGB20" s="43"/>
      <c r="AGC20" s="43"/>
      <c r="AGD20" s="43"/>
      <c r="AGE20" s="43"/>
      <c r="AGF20" s="43"/>
      <c r="AGG20" s="43"/>
      <c r="AGH20" s="43"/>
      <c r="AGI20" s="43"/>
      <c r="AGJ20" s="43"/>
      <c r="AGK20" s="43"/>
      <c r="AGL20" s="43"/>
      <c r="AGM20" s="43"/>
      <c r="AGN20" s="43"/>
      <c r="AGO20" s="43"/>
      <c r="AGP20" s="43"/>
      <c r="AGQ20" s="43"/>
      <c r="AGR20" s="43"/>
      <c r="AGS20" s="43"/>
      <c r="AGT20" s="43"/>
      <c r="AGU20" s="43"/>
      <c r="AGV20" s="43"/>
      <c r="AGW20" s="43"/>
      <c r="AGX20" s="43"/>
      <c r="AGY20" s="43"/>
      <c r="AGZ20" s="43"/>
      <c r="AHA20" s="43"/>
      <c r="AHB20" s="43"/>
      <c r="AHC20" s="43"/>
      <c r="AHD20" s="43"/>
      <c r="AHE20" s="43"/>
      <c r="AHF20" s="43"/>
      <c r="AHG20" s="43"/>
      <c r="AHH20" s="43"/>
      <c r="AHI20" s="43"/>
      <c r="AHJ20" s="43"/>
      <c r="AHK20" s="43"/>
      <c r="AHL20" s="43"/>
      <c r="AHM20" s="43"/>
      <c r="AHN20" s="43"/>
      <c r="AHO20" s="43"/>
      <c r="AHP20" s="43"/>
      <c r="AHQ20" s="43"/>
      <c r="AHR20" s="43"/>
      <c r="AHS20" s="43"/>
      <c r="AHT20" s="43"/>
      <c r="AHU20" s="43"/>
      <c r="AHV20" s="43"/>
      <c r="AHW20" s="43"/>
      <c r="AHX20" s="43"/>
      <c r="AHY20" s="43"/>
      <c r="AHZ20" s="43"/>
      <c r="AIA20" s="43"/>
      <c r="AIB20" s="43"/>
      <c r="AIC20" s="43"/>
      <c r="AID20" s="43"/>
      <c r="AIE20" s="43"/>
      <c r="AIF20" s="43"/>
      <c r="AIG20" s="43"/>
      <c r="AIH20" s="43"/>
      <c r="AII20" s="43"/>
      <c r="AIJ20" s="43"/>
      <c r="AIK20" s="43"/>
      <c r="AIL20" s="43"/>
      <c r="AIM20" s="43"/>
      <c r="AIN20" s="43"/>
      <c r="AIO20" s="43"/>
      <c r="AIP20" s="43"/>
      <c r="AIQ20" s="43"/>
      <c r="AIR20" s="43"/>
      <c r="AIS20" s="43"/>
      <c r="AIT20" s="43"/>
      <c r="AIU20" s="43"/>
      <c r="AIV20" s="43"/>
      <c r="AIW20" s="43"/>
      <c r="AIX20" s="43"/>
      <c r="AIY20" s="43"/>
      <c r="AIZ20" s="43"/>
      <c r="AJA20" s="43"/>
      <c r="AJB20" s="43"/>
      <c r="AJC20" s="43"/>
      <c r="AJD20" s="43"/>
      <c r="AJE20" s="43"/>
      <c r="AJF20" s="43"/>
      <c r="AJG20" s="43"/>
      <c r="AJH20" s="43"/>
      <c r="AJI20" s="43"/>
      <c r="AJJ20" s="43"/>
      <c r="AJK20" s="43"/>
      <c r="AJL20" s="43"/>
      <c r="AJM20" s="43"/>
      <c r="AJN20" s="43"/>
      <c r="AJO20" s="43"/>
      <c r="AJP20" s="43"/>
      <c r="AJQ20" s="43"/>
      <c r="AJR20" s="43"/>
      <c r="AJS20" s="43"/>
      <c r="AJT20" s="43"/>
      <c r="AJU20" s="43"/>
      <c r="AJV20" s="43"/>
      <c r="AJW20" s="43"/>
      <c r="AJX20" s="43"/>
      <c r="AJY20" s="43"/>
      <c r="AJZ20" s="43"/>
      <c r="AKA20" s="43"/>
      <c r="AKB20" s="43"/>
      <c r="AKC20" s="43"/>
      <c r="AKD20" s="43"/>
      <c r="AKE20" s="43"/>
      <c r="AKF20" s="43"/>
      <c r="AKG20" s="43"/>
      <c r="AKH20" s="43"/>
      <c r="AKI20" s="43"/>
      <c r="AKJ20" s="43"/>
      <c r="AKK20" s="43"/>
      <c r="AKL20" s="43"/>
      <c r="AKM20" s="43"/>
      <c r="AKN20" s="43"/>
      <c r="AKO20" s="43"/>
      <c r="AKP20" s="43"/>
      <c r="AKQ20" s="43"/>
      <c r="AKR20" s="43"/>
      <c r="AKS20" s="43"/>
      <c r="AKT20" s="43"/>
      <c r="AKU20" s="43"/>
      <c r="AKV20" s="43"/>
      <c r="AKW20" s="43"/>
      <c r="AKX20" s="43"/>
      <c r="AKY20" s="43"/>
      <c r="AKZ20" s="43"/>
      <c r="ALA20" s="43"/>
      <c r="ALB20" s="43"/>
      <c r="ALC20" s="43"/>
      <c r="ALD20" s="43"/>
      <c r="ALE20" s="43"/>
      <c r="ALF20" s="43"/>
      <c r="ALG20" s="43"/>
      <c r="ALH20" s="43"/>
      <c r="ALI20" s="43"/>
      <c r="ALJ20" s="43"/>
      <c r="ALK20" s="43"/>
      <c r="ALL20" s="43"/>
      <c r="ALM20" s="43"/>
      <c r="ALN20" s="43"/>
      <c r="ALO20" s="43"/>
      <c r="ALP20" s="43"/>
      <c r="ALQ20" s="43"/>
      <c r="ALR20" s="43"/>
      <c r="ALS20" s="43"/>
      <c r="ALT20" s="43"/>
      <c r="ALU20" s="43"/>
      <c r="ALV20" s="43"/>
      <c r="ALW20" s="43"/>
      <c r="ALX20" s="43"/>
      <c r="ALY20" s="43"/>
      <c r="ALZ20" s="43"/>
      <c r="AMA20" s="43"/>
      <c r="AMB20" s="43"/>
      <c r="AMC20" s="43"/>
      <c r="AMD20" s="43"/>
      <c r="AME20" s="43"/>
      <c r="AMF20" s="43"/>
      <c r="AMG20" s="43"/>
      <c r="AMH20" s="43"/>
      <c r="AMI20" s="43"/>
    </row>
    <row r="21" spans="1:1024" s="93" customFormat="1" ht="15.75" x14ac:dyDescent="0.25">
      <c r="A21" s="46" t="s">
        <v>80</v>
      </c>
      <c r="B21" s="47">
        <f>'CSGYK ktgvetési mérleg'!F22</f>
        <v>3190244</v>
      </c>
      <c r="C21" s="51">
        <f>SUM(97908000+'CSGYK ktgvetési mérleg'!F38+'CSGYK ktgvetési mérleg'!F41+'CSGYK ktgvetési mérleg'!F42+'CSGYK ktgvetési mérleg'!F43)-13014318</f>
        <v>212117938</v>
      </c>
      <c r="D21" s="51">
        <f>'CSGYK ktgvetési mérleg'!F39</f>
        <v>10972489</v>
      </c>
      <c r="E21" s="51">
        <f>'CSGYK ktgvetési mérleg'!F40+'CSGYK ktgvetési mérleg'!F44+'CSGYK ktgvetési mérleg'!F45+'CSGYK ktgvetési mérleg'!F46+'CSGYK ktgvetési mérleg'!F23+'CSGYK ktgvetési mérleg'!F26</f>
        <v>25974667</v>
      </c>
      <c r="F21" s="51">
        <v>0</v>
      </c>
      <c r="G21" s="47">
        <v>0</v>
      </c>
      <c r="H21" s="47">
        <f>SUM(B21:G21)</f>
        <v>252255338</v>
      </c>
      <c r="I21" s="139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  <c r="IU21" s="43"/>
      <c r="IV21" s="43"/>
      <c r="IW21" s="43"/>
      <c r="IX21" s="43"/>
      <c r="IY21" s="43"/>
      <c r="IZ21" s="43"/>
      <c r="JA21" s="43"/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M21" s="43"/>
      <c r="JN21" s="43"/>
      <c r="JO21" s="43"/>
      <c r="JP21" s="43"/>
      <c r="JQ21" s="43"/>
      <c r="JR21" s="43"/>
      <c r="JS21" s="43"/>
      <c r="JT21" s="43"/>
      <c r="JU21" s="43"/>
      <c r="JV21" s="43"/>
      <c r="JW21" s="43"/>
      <c r="JX21" s="43"/>
      <c r="JY21" s="43"/>
      <c r="JZ21" s="43"/>
      <c r="KA21" s="43"/>
      <c r="KB21" s="43"/>
      <c r="KC21" s="43"/>
      <c r="KD21" s="43"/>
      <c r="KE21" s="43"/>
      <c r="KF21" s="43"/>
      <c r="KG21" s="43"/>
      <c r="KH21" s="43"/>
      <c r="KI21" s="43"/>
      <c r="KJ21" s="43"/>
      <c r="KK21" s="43"/>
      <c r="KL21" s="43"/>
      <c r="KM21" s="43"/>
      <c r="KN21" s="43"/>
      <c r="KO21" s="43"/>
      <c r="KP21" s="43"/>
      <c r="KQ21" s="43"/>
      <c r="KR21" s="43"/>
      <c r="KS21" s="43"/>
      <c r="KT21" s="43"/>
      <c r="KU21" s="43"/>
      <c r="KV21" s="43"/>
      <c r="KW21" s="43"/>
      <c r="KX21" s="43"/>
      <c r="KY21" s="43"/>
      <c r="KZ21" s="43"/>
      <c r="LA21" s="43"/>
      <c r="LB21" s="43"/>
      <c r="LC21" s="43"/>
      <c r="LD21" s="43"/>
      <c r="LE21" s="43"/>
      <c r="LF21" s="43"/>
      <c r="LG21" s="43"/>
      <c r="LH21" s="43"/>
      <c r="LI21" s="43"/>
      <c r="LJ21" s="43"/>
      <c r="LK21" s="43"/>
      <c r="LL21" s="43"/>
      <c r="LM21" s="43"/>
      <c r="LN21" s="43"/>
      <c r="LO21" s="43"/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3"/>
      <c r="MA21" s="43"/>
      <c r="MB21" s="43"/>
      <c r="MC21" s="43"/>
      <c r="MD21" s="43"/>
      <c r="ME21" s="43"/>
      <c r="MF21" s="43"/>
      <c r="MG21" s="43"/>
      <c r="MH21" s="43"/>
      <c r="MI21" s="43"/>
      <c r="MJ21" s="43"/>
      <c r="MK21" s="43"/>
      <c r="ML21" s="43"/>
      <c r="MM21" s="43"/>
      <c r="MN21" s="43"/>
      <c r="MO21" s="43"/>
      <c r="MP21" s="43"/>
      <c r="MQ21" s="43"/>
      <c r="MR21" s="43"/>
      <c r="MS21" s="43"/>
      <c r="MT21" s="43"/>
      <c r="MU21" s="43"/>
      <c r="MV21" s="43"/>
      <c r="MW21" s="43"/>
      <c r="MX21" s="43"/>
      <c r="MY21" s="43"/>
      <c r="MZ21" s="43"/>
      <c r="NA21" s="43"/>
      <c r="NB21" s="43"/>
      <c r="NC21" s="43"/>
      <c r="ND21" s="43"/>
      <c r="NE21" s="43"/>
      <c r="NF21" s="43"/>
      <c r="NG21" s="43"/>
      <c r="NH21" s="43"/>
      <c r="NI21" s="43"/>
      <c r="NJ21" s="43"/>
      <c r="NK21" s="43"/>
      <c r="NL21" s="43"/>
      <c r="NM21" s="43"/>
      <c r="NN21" s="43"/>
      <c r="NO21" s="43"/>
      <c r="NP21" s="43"/>
      <c r="NQ21" s="43"/>
      <c r="NR21" s="43"/>
      <c r="NS21" s="43"/>
      <c r="NT21" s="43"/>
      <c r="NU21" s="43"/>
      <c r="NV21" s="43"/>
      <c r="NW21" s="43"/>
      <c r="NX21" s="43"/>
      <c r="NY21" s="43"/>
      <c r="NZ21" s="43"/>
      <c r="OA21" s="43"/>
      <c r="OB21" s="43"/>
      <c r="OC21" s="43"/>
      <c r="OD21" s="43"/>
      <c r="OE21" s="43"/>
      <c r="OF21" s="43"/>
      <c r="OG21" s="43"/>
      <c r="OH21" s="43"/>
      <c r="OI21" s="43"/>
      <c r="OJ21" s="43"/>
      <c r="OK21" s="43"/>
      <c r="OL21" s="43"/>
      <c r="OM21" s="43"/>
      <c r="ON21" s="43"/>
      <c r="OO21" s="43"/>
      <c r="OP21" s="43"/>
      <c r="OQ21" s="43"/>
      <c r="OR21" s="43"/>
      <c r="OS21" s="43"/>
      <c r="OT21" s="43"/>
      <c r="OU21" s="43"/>
      <c r="OV21" s="43"/>
      <c r="OW21" s="43"/>
      <c r="OX21" s="43"/>
      <c r="OY21" s="43"/>
      <c r="OZ21" s="43"/>
      <c r="PA21" s="43"/>
      <c r="PB21" s="43"/>
      <c r="PC21" s="43"/>
      <c r="PD21" s="43"/>
      <c r="PE21" s="43"/>
      <c r="PF21" s="43"/>
      <c r="PG21" s="43"/>
      <c r="PH21" s="43"/>
      <c r="PI21" s="43"/>
      <c r="PJ21" s="43"/>
      <c r="PK21" s="43"/>
      <c r="PL21" s="43"/>
      <c r="PM21" s="43"/>
      <c r="PN21" s="43"/>
      <c r="PO21" s="43"/>
      <c r="PP21" s="43"/>
      <c r="PQ21" s="43"/>
      <c r="PR21" s="43"/>
      <c r="PS21" s="43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3"/>
      <c r="QN21" s="43"/>
      <c r="QO21" s="43"/>
      <c r="QP21" s="43"/>
      <c r="QQ21" s="43"/>
      <c r="QR21" s="43"/>
      <c r="QS21" s="43"/>
      <c r="QT21" s="43"/>
      <c r="QU21" s="43"/>
      <c r="QV21" s="43"/>
      <c r="QW21" s="43"/>
      <c r="QX21" s="43"/>
      <c r="QY21" s="43"/>
      <c r="QZ21" s="43"/>
      <c r="RA21" s="43"/>
      <c r="RB21" s="43"/>
      <c r="RC21" s="43"/>
      <c r="RD21" s="43"/>
      <c r="RE21" s="43"/>
      <c r="RF21" s="43"/>
      <c r="RG21" s="43"/>
      <c r="RH21" s="43"/>
      <c r="RI21" s="43"/>
      <c r="RJ21" s="43"/>
      <c r="RK21" s="43"/>
      <c r="RL21" s="43"/>
      <c r="RM21" s="43"/>
      <c r="RN21" s="43"/>
      <c r="RO21" s="43"/>
      <c r="RP21" s="43"/>
      <c r="RQ21" s="43"/>
      <c r="RR21" s="43"/>
      <c r="RS21" s="43"/>
      <c r="RT21" s="43"/>
      <c r="RU21" s="43"/>
      <c r="RV21" s="43"/>
      <c r="RW21" s="43"/>
      <c r="RX21" s="43"/>
      <c r="RY21" s="43"/>
      <c r="RZ21" s="43"/>
      <c r="SA21" s="43"/>
      <c r="SB21" s="43"/>
      <c r="SC21" s="43"/>
      <c r="SD21" s="43"/>
      <c r="SE21" s="43"/>
      <c r="SF21" s="43"/>
      <c r="SG21" s="43"/>
      <c r="SH21" s="43"/>
      <c r="SI21" s="43"/>
      <c r="SJ21" s="43"/>
      <c r="SK21" s="43"/>
      <c r="SL21" s="43"/>
      <c r="SM21" s="43"/>
      <c r="SN21" s="43"/>
      <c r="SO21" s="43"/>
      <c r="SP21" s="43"/>
      <c r="SQ21" s="43"/>
      <c r="SR21" s="43"/>
      <c r="SS21" s="43"/>
      <c r="ST21" s="43"/>
      <c r="SU21" s="43"/>
      <c r="SV21" s="43"/>
      <c r="SW21" s="43"/>
      <c r="SX21" s="43"/>
      <c r="SY21" s="43"/>
      <c r="SZ21" s="43"/>
      <c r="TA21" s="43"/>
      <c r="TB21" s="43"/>
      <c r="TC21" s="43"/>
      <c r="TD21" s="43"/>
      <c r="TE21" s="43"/>
      <c r="TF21" s="43"/>
      <c r="TG21" s="43"/>
      <c r="TH21" s="43"/>
      <c r="TI21" s="43"/>
      <c r="TJ21" s="43"/>
      <c r="TK21" s="43"/>
      <c r="TL21" s="43"/>
      <c r="TM21" s="43"/>
      <c r="TN21" s="43"/>
      <c r="TO21" s="43"/>
      <c r="TP21" s="43"/>
      <c r="TQ21" s="43"/>
      <c r="TR21" s="43"/>
      <c r="TS21" s="43"/>
      <c r="TT21" s="43"/>
      <c r="TU21" s="43"/>
      <c r="TV21" s="43"/>
      <c r="TW21" s="43"/>
      <c r="TX21" s="43"/>
      <c r="TY21" s="43"/>
      <c r="TZ21" s="43"/>
      <c r="UA21" s="43"/>
      <c r="UB21" s="43"/>
      <c r="UC21" s="43"/>
      <c r="UD21" s="43"/>
      <c r="UE21" s="43"/>
      <c r="UF21" s="43"/>
      <c r="UG21" s="43"/>
      <c r="UH21" s="43"/>
      <c r="UI21" s="43"/>
      <c r="UJ21" s="43"/>
      <c r="UK21" s="43"/>
      <c r="UL21" s="43"/>
      <c r="UM21" s="43"/>
      <c r="UN21" s="43"/>
      <c r="UO21" s="43"/>
      <c r="UP21" s="43"/>
      <c r="UQ21" s="43"/>
      <c r="UR21" s="43"/>
      <c r="US21" s="43"/>
      <c r="UT21" s="43"/>
      <c r="UU21" s="43"/>
      <c r="UV21" s="43"/>
      <c r="UW21" s="43"/>
      <c r="UX21" s="43"/>
      <c r="UY21" s="43"/>
      <c r="UZ21" s="43"/>
      <c r="VA21" s="43"/>
      <c r="VB21" s="43"/>
      <c r="VC21" s="43"/>
      <c r="VD21" s="43"/>
      <c r="VE21" s="43"/>
      <c r="VF21" s="43"/>
      <c r="VG21" s="43"/>
      <c r="VH21" s="43"/>
      <c r="VI21" s="43"/>
      <c r="VJ21" s="43"/>
      <c r="VK21" s="43"/>
      <c r="VL21" s="43"/>
      <c r="VM21" s="43"/>
      <c r="VN21" s="43"/>
      <c r="VO21" s="43"/>
      <c r="VP21" s="43"/>
      <c r="VQ21" s="43"/>
      <c r="VR21" s="43"/>
      <c r="VS21" s="43"/>
      <c r="VT21" s="43"/>
      <c r="VU21" s="43"/>
      <c r="VV21" s="43"/>
      <c r="VW21" s="43"/>
      <c r="VX21" s="43"/>
      <c r="VY21" s="43"/>
      <c r="VZ21" s="43"/>
      <c r="WA21" s="43"/>
      <c r="WB21" s="43"/>
      <c r="WC21" s="43"/>
      <c r="WD21" s="43"/>
      <c r="WE21" s="43"/>
      <c r="WF21" s="43"/>
      <c r="WG21" s="43"/>
      <c r="WH21" s="43"/>
      <c r="WI21" s="43"/>
      <c r="WJ21" s="43"/>
      <c r="WK21" s="43"/>
      <c r="WL21" s="43"/>
      <c r="WM21" s="43"/>
      <c r="WN21" s="43"/>
      <c r="WO21" s="43"/>
      <c r="WP21" s="43"/>
      <c r="WQ21" s="43"/>
      <c r="WR21" s="43"/>
      <c r="WS21" s="43"/>
      <c r="WT21" s="43"/>
      <c r="WU21" s="43"/>
      <c r="WV21" s="43"/>
      <c r="WW21" s="43"/>
      <c r="WX21" s="43"/>
      <c r="WY21" s="43"/>
      <c r="WZ21" s="43"/>
      <c r="XA21" s="43"/>
      <c r="XB21" s="43"/>
      <c r="XC21" s="43"/>
      <c r="XD21" s="43"/>
      <c r="XE21" s="43"/>
      <c r="XF21" s="43"/>
      <c r="XG21" s="43"/>
      <c r="XH21" s="43"/>
      <c r="XI21" s="43"/>
      <c r="XJ21" s="43"/>
      <c r="XK21" s="43"/>
      <c r="XL21" s="43"/>
      <c r="XM21" s="43"/>
      <c r="XN21" s="43"/>
      <c r="XO21" s="43"/>
      <c r="XP21" s="43"/>
      <c r="XQ21" s="43"/>
      <c r="XR21" s="43"/>
      <c r="XS21" s="43"/>
      <c r="XT21" s="43"/>
      <c r="XU21" s="43"/>
      <c r="XV21" s="43"/>
      <c r="XW21" s="43"/>
      <c r="XX21" s="43"/>
      <c r="XY21" s="43"/>
      <c r="XZ21" s="43"/>
      <c r="YA21" s="43"/>
      <c r="YB21" s="43"/>
      <c r="YC21" s="43"/>
      <c r="YD21" s="43"/>
      <c r="YE21" s="43"/>
      <c r="YF21" s="43"/>
      <c r="YG21" s="43"/>
      <c r="YH21" s="43"/>
      <c r="YI21" s="43"/>
      <c r="YJ21" s="43"/>
      <c r="YK21" s="43"/>
      <c r="YL21" s="43"/>
      <c r="YM21" s="43"/>
      <c r="YN21" s="43"/>
      <c r="YO21" s="43"/>
      <c r="YP21" s="43"/>
      <c r="YQ21" s="43"/>
      <c r="YR21" s="43"/>
      <c r="YS21" s="43"/>
      <c r="YT21" s="43"/>
      <c r="YU21" s="43"/>
      <c r="YV21" s="43"/>
      <c r="YW21" s="43"/>
      <c r="YX21" s="43"/>
      <c r="YY21" s="43"/>
      <c r="YZ21" s="43"/>
      <c r="ZA21" s="43"/>
      <c r="ZB21" s="43"/>
      <c r="ZC21" s="43"/>
      <c r="ZD21" s="43"/>
      <c r="ZE21" s="43"/>
      <c r="ZF21" s="43"/>
      <c r="ZG21" s="43"/>
      <c r="ZH21" s="43"/>
      <c r="ZI21" s="43"/>
      <c r="ZJ21" s="43"/>
      <c r="ZK21" s="43"/>
      <c r="ZL21" s="43"/>
      <c r="ZM21" s="43"/>
      <c r="ZN21" s="43"/>
      <c r="ZO21" s="43"/>
      <c r="ZP21" s="43"/>
      <c r="ZQ21" s="43"/>
      <c r="ZR21" s="43"/>
      <c r="ZS21" s="43"/>
      <c r="ZT21" s="43"/>
      <c r="ZU21" s="43"/>
      <c r="ZV21" s="43"/>
      <c r="ZW21" s="43"/>
      <c r="ZX21" s="43"/>
      <c r="ZY21" s="43"/>
      <c r="ZZ21" s="43"/>
      <c r="AAA21" s="43"/>
      <c r="AAB21" s="43"/>
      <c r="AAC21" s="43"/>
      <c r="AAD21" s="43"/>
      <c r="AAE21" s="43"/>
      <c r="AAF21" s="43"/>
      <c r="AAG21" s="43"/>
      <c r="AAH21" s="43"/>
      <c r="AAI21" s="43"/>
      <c r="AAJ21" s="43"/>
      <c r="AAK21" s="43"/>
      <c r="AAL21" s="43"/>
      <c r="AAM21" s="43"/>
      <c r="AAN21" s="43"/>
      <c r="AAO21" s="43"/>
      <c r="AAP21" s="43"/>
      <c r="AAQ21" s="43"/>
      <c r="AAR21" s="43"/>
      <c r="AAS21" s="43"/>
      <c r="AAT21" s="43"/>
      <c r="AAU21" s="43"/>
      <c r="AAV21" s="43"/>
      <c r="AAW21" s="43"/>
      <c r="AAX21" s="43"/>
      <c r="AAY21" s="43"/>
      <c r="AAZ21" s="43"/>
      <c r="ABA21" s="43"/>
      <c r="ABB21" s="43"/>
      <c r="ABC21" s="43"/>
      <c r="ABD21" s="43"/>
      <c r="ABE21" s="43"/>
      <c r="ABF21" s="43"/>
      <c r="ABG21" s="43"/>
      <c r="ABH21" s="43"/>
      <c r="ABI21" s="43"/>
      <c r="ABJ21" s="43"/>
      <c r="ABK21" s="43"/>
      <c r="ABL21" s="43"/>
      <c r="ABM21" s="43"/>
      <c r="ABN21" s="43"/>
      <c r="ABO21" s="43"/>
      <c r="ABP21" s="43"/>
      <c r="ABQ21" s="43"/>
      <c r="ABR21" s="43"/>
      <c r="ABS21" s="43"/>
      <c r="ABT21" s="43"/>
      <c r="ABU21" s="43"/>
      <c r="ABV21" s="43"/>
      <c r="ABW21" s="43"/>
      <c r="ABX21" s="43"/>
      <c r="ABY21" s="43"/>
      <c r="ABZ21" s="43"/>
      <c r="ACA21" s="43"/>
      <c r="ACB21" s="43"/>
      <c r="ACC21" s="43"/>
      <c r="ACD21" s="43"/>
      <c r="ACE21" s="43"/>
      <c r="ACF21" s="43"/>
      <c r="ACG21" s="43"/>
      <c r="ACH21" s="43"/>
      <c r="ACI21" s="43"/>
      <c r="ACJ21" s="43"/>
      <c r="ACK21" s="43"/>
      <c r="ACL21" s="43"/>
      <c r="ACM21" s="43"/>
      <c r="ACN21" s="43"/>
      <c r="ACO21" s="43"/>
      <c r="ACP21" s="43"/>
      <c r="ACQ21" s="43"/>
      <c r="ACR21" s="43"/>
      <c r="ACS21" s="43"/>
      <c r="ACT21" s="43"/>
      <c r="ACU21" s="43"/>
      <c r="ACV21" s="43"/>
      <c r="ACW21" s="43"/>
      <c r="ACX21" s="43"/>
      <c r="ACY21" s="43"/>
      <c r="ACZ21" s="43"/>
      <c r="ADA21" s="43"/>
      <c r="ADB21" s="43"/>
      <c r="ADC21" s="43"/>
      <c r="ADD21" s="43"/>
      <c r="ADE21" s="43"/>
      <c r="ADF21" s="43"/>
      <c r="ADG21" s="43"/>
      <c r="ADH21" s="43"/>
      <c r="ADI21" s="43"/>
      <c r="ADJ21" s="43"/>
      <c r="ADK21" s="43"/>
      <c r="ADL21" s="43"/>
      <c r="ADM21" s="43"/>
      <c r="ADN21" s="43"/>
      <c r="ADO21" s="43"/>
      <c r="ADP21" s="43"/>
      <c r="ADQ21" s="43"/>
      <c r="ADR21" s="43"/>
      <c r="ADS21" s="43"/>
      <c r="ADT21" s="43"/>
      <c r="ADU21" s="43"/>
      <c r="ADV21" s="43"/>
      <c r="ADW21" s="43"/>
      <c r="ADX21" s="43"/>
      <c r="ADY21" s="43"/>
      <c r="ADZ21" s="43"/>
      <c r="AEA21" s="43"/>
      <c r="AEB21" s="43"/>
      <c r="AEC21" s="43"/>
      <c r="AED21" s="43"/>
      <c r="AEE21" s="43"/>
      <c r="AEF21" s="43"/>
      <c r="AEG21" s="43"/>
      <c r="AEH21" s="43"/>
      <c r="AEI21" s="43"/>
      <c r="AEJ21" s="43"/>
      <c r="AEK21" s="43"/>
      <c r="AEL21" s="43"/>
      <c r="AEM21" s="43"/>
      <c r="AEN21" s="43"/>
      <c r="AEO21" s="43"/>
      <c r="AEP21" s="43"/>
      <c r="AEQ21" s="43"/>
      <c r="AER21" s="43"/>
      <c r="AES21" s="43"/>
      <c r="AET21" s="43"/>
      <c r="AEU21" s="43"/>
      <c r="AEV21" s="43"/>
      <c r="AEW21" s="43"/>
      <c r="AEX21" s="43"/>
      <c r="AEY21" s="43"/>
      <c r="AEZ21" s="43"/>
      <c r="AFA21" s="43"/>
      <c r="AFB21" s="43"/>
      <c r="AFC21" s="43"/>
      <c r="AFD21" s="43"/>
      <c r="AFE21" s="43"/>
      <c r="AFF21" s="43"/>
      <c r="AFG21" s="43"/>
      <c r="AFH21" s="43"/>
      <c r="AFI21" s="43"/>
      <c r="AFJ21" s="43"/>
      <c r="AFK21" s="43"/>
      <c r="AFL21" s="43"/>
      <c r="AFM21" s="43"/>
      <c r="AFN21" s="43"/>
      <c r="AFO21" s="43"/>
      <c r="AFP21" s="43"/>
      <c r="AFQ21" s="43"/>
      <c r="AFR21" s="43"/>
      <c r="AFS21" s="43"/>
      <c r="AFT21" s="43"/>
      <c r="AFU21" s="43"/>
      <c r="AFV21" s="43"/>
      <c r="AFW21" s="43"/>
      <c r="AFX21" s="43"/>
      <c r="AFY21" s="43"/>
      <c r="AFZ21" s="43"/>
      <c r="AGA21" s="43"/>
      <c r="AGB21" s="43"/>
      <c r="AGC21" s="43"/>
      <c r="AGD21" s="43"/>
      <c r="AGE21" s="43"/>
      <c r="AGF21" s="43"/>
      <c r="AGG21" s="43"/>
      <c r="AGH21" s="43"/>
      <c r="AGI21" s="43"/>
      <c r="AGJ21" s="43"/>
      <c r="AGK21" s="43"/>
      <c r="AGL21" s="43"/>
      <c r="AGM21" s="43"/>
      <c r="AGN21" s="43"/>
      <c r="AGO21" s="43"/>
      <c r="AGP21" s="43"/>
      <c r="AGQ21" s="43"/>
      <c r="AGR21" s="43"/>
      <c r="AGS21" s="43"/>
      <c r="AGT21" s="43"/>
      <c r="AGU21" s="43"/>
      <c r="AGV21" s="43"/>
      <c r="AGW21" s="43"/>
      <c r="AGX21" s="43"/>
      <c r="AGY21" s="43"/>
      <c r="AGZ21" s="43"/>
      <c r="AHA21" s="43"/>
      <c r="AHB21" s="43"/>
      <c r="AHC21" s="43"/>
      <c r="AHD21" s="43"/>
      <c r="AHE21" s="43"/>
      <c r="AHF21" s="43"/>
      <c r="AHG21" s="43"/>
      <c r="AHH21" s="43"/>
      <c r="AHI21" s="43"/>
      <c r="AHJ21" s="43"/>
      <c r="AHK21" s="43"/>
      <c r="AHL21" s="43"/>
      <c r="AHM21" s="43"/>
      <c r="AHN21" s="43"/>
      <c r="AHO21" s="43"/>
      <c r="AHP21" s="43"/>
      <c r="AHQ21" s="43"/>
      <c r="AHR21" s="43"/>
      <c r="AHS21" s="43"/>
      <c r="AHT21" s="43"/>
      <c r="AHU21" s="43"/>
      <c r="AHV21" s="43"/>
      <c r="AHW21" s="43"/>
      <c r="AHX21" s="43"/>
      <c r="AHY21" s="43"/>
      <c r="AHZ21" s="43"/>
      <c r="AIA21" s="43"/>
      <c r="AIB21" s="43"/>
      <c r="AIC21" s="43"/>
      <c r="AID21" s="43"/>
      <c r="AIE21" s="43"/>
      <c r="AIF21" s="43"/>
      <c r="AIG21" s="43"/>
      <c r="AIH21" s="43"/>
      <c r="AII21" s="43"/>
      <c r="AIJ21" s="43"/>
      <c r="AIK21" s="43"/>
      <c r="AIL21" s="43"/>
      <c r="AIM21" s="43"/>
      <c r="AIN21" s="43"/>
      <c r="AIO21" s="43"/>
      <c r="AIP21" s="43"/>
      <c r="AIQ21" s="43"/>
      <c r="AIR21" s="43"/>
      <c r="AIS21" s="43"/>
      <c r="AIT21" s="43"/>
      <c r="AIU21" s="43"/>
      <c r="AIV21" s="43"/>
      <c r="AIW21" s="43"/>
      <c r="AIX21" s="43"/>
      <c r="AIY21" s="43"/>
      <c r="AIZ21" s="43"/>
      <c r="AJA21" s="43"/>
      <c r="AJB21" s="43"/>
      <c r="AJC21" s="43"/>
      <c r="AJD21" s="43"/>
      <c r="AJE21" s="43"/>
      <c r="AJF21" s="43"/>
      <c r="AJG21" s="43"/>
      <c r="AJH21" s="43"/>
      <c r="AJI21" s="43"/>
      <c r="AJJ21" s="43"/>
      <c r="AJK21" s="43"/>
      <c r="AJL21" s="43"/>
      <c r="AJM21" s="43"/>
      <c r="AJN21" s="43"/>
      <c r="AJO21" s="43"/>
      <c r="AJP21" s="43"/>
      <c r="AJQ21" s="43"/>
      <c r="AJR21" s="43"/>
      <c r="AJS21" s="43"/>
      <c r="AJT21" s="43"/>
      <c r="AJU21" s="43"/>
      <c r="AJV21" s="43"/>
      <c r="AJW21" s="43"/>
      <c r="AJX21" s="43"/>
      <c r="AJY21" s="43"/>
      <c r="AJZ21" s="43"/>
      <c r="AKA21" s="43"/>
      <c r="AKB21" s="43"/>
      <c r="AKC21" s="43"/>
      <c r="AKD21" s="43"/>
      <c r="AKE21" s="43"/>
      <c r="AKF21" s="43"/>
      <c r="AKG21" s="43"/>
      <c r="AKH21" s="43"/>
      <c r="AKI21" s="43"/>
      <c r="AKJ21" s="43"/>
      <c r="AKK21" s="43"/>
      <c r="AKL21" s="43"/>
      <c r="AKM21" s="43"/>
      <c r="AKN21" s="43"/>
      <c r="AKO21" s="43"/>
      <c r="AKP21" s="43"/>
      <c r="AKQ21" s="43"/>
      <c r="AKR21" s="43"/>
      <c r="AKS21" s="43"/>
      <c r="AKT21" s="43"/>
      <c r="AKU21" s="43"/>
      <c r="AKV21" s="43"/>
      <c r="AKW21" s="43"/>
      <c r="AKX21" s="43"/>
      <c r="AKY21" s="43"/>
      <c r="AKZ21" s="43"/>
      <c r="ALA21" s="43"/>
      <c r="ALB21" s="43"/>
      <c r="ALC21" s="43"/>
      <c r="ALD21" s="43"/>
      <c r="ALE21" s="43"/>
      <c r="ALF21" s="43"/>
      <c r="ALG21" s="43"/>
      <c r="ALH21" s="43"/>
      <c r="ALI21" s="43"/>
      <c r="ALJ21" s="43"/>
      <c r="ALK21" s="43"/>
      <c r="ALL21" s="43"/>
      <c r="ALM21" s="43"/>
      <c r="ALN21" s="43"/>
      <c r="ALO21" s="43"/>
      <c r="ALP21" s="43"/>
      <c r="ALQ21" s="43"/>
      <c r="ALR21" s="43"/>
      <c r="ALS21" s="43"/>
      <c r="ALT21" s="43"/>
      <c r="ALU21" s="43"/>
      <c r="ALV21" s="43"/>
      <c r="ALW21" s="43"/>
      <c r="ALX21" s="43"/>
      <c r="ALY21" s="43"/>
      <c r="ALZ21" s="43"/>
      <c r="AMA21" s="43"/>
      <c r="AMB21" s="43"/>
      <c r="AMC21" s="43"/>
      <c r="AMD21" s="43"/>
      <c r="AME21" s="43"/>
      <c r="AMF21" s="43"/>
      <c r="AMG21" s="43"/>
      <c r="AMH21" s="43"/>
      <c r="AMI21" s="43"/>
    </row>
    <row r="22" spans="1:1024" s="93" customFormat="1" ht="15.75" x14ac:dyDescent="0.25">
      <c r="A22" s="46" t="s">
        <v>7</v>
      </c>
      <c r="B22" s="47">
        <f>'Társulás ktgvetési mérleg'!F24</f>
        <v>9867951</v>
      </c>
      <c r="C22" s="47">
        <v>0</v>
      </c>
      <c r="D22" s="47">
        <v>0</v>
      </c>
      <c r="E22" s="47">
        <v>37844942</v>
      </c>
      <c r="F22" s="47">
        <v>0</v>
      </c>
      <c r="G22" s="47">
        <f>H14-B22-E22</f>
        <v>19630943</v>
      </c>
      <c r="H22" s="47">
        <f>SUM(B22:G22)</f>
        <v>67343836</v>
      </c>
      <c r="I22" s="139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  <c r="JU22" s="43"/>
      <c r="JV22" s="43"/>
      <c r="JW22" s="43"/>
      <c r="JX22" s="43"/>
      <c r="JY22" s="43"/>
      <c r="JZ22" s="43"/>
      <c r="KA22" s="43"/>
      <c r="KB22" s="43"/>
      <c r="KC22" s="43"/>
      <c r="KD22" s="43"/>
      <c r="KE22" s="43"/>
      <c r="KF22" s="43"/>
      <c r="KG22" s="43"/>
      <c r="KH22" s="43"/>
      <c r="KI22" s="43"/>
      <c r="KJ22" s="43"/>
      <c r="KK22" s="43"/>
      <c r="KL22" s="43"/>
      <c r="KM22" s="43"/>
      <c r="KN22" s="43"/>
      <c r="KO22" s="43"/>
      <c r="KP22" s="43"/>
      <c r="KQ22" s="43"/>
      <c r="KR22" s="43"/>
      <c r="KS22" s="43"/>
      <c r="KT22" s="43"/>
      <c r="KU22" s="43"/>
      <c r="KV22" s="43"/>
      <c r="KW22" s="43"/>
      <c r="KX22" s="43"/>
      <c r="KY22" s="43"/>
      <c r="KZ22" s="43"/>
      <c r="LA22" s="43"/>
      <c r="LB22" s="43"/>
      <c r="LC22" s="43"/>
      <c r="LD22" s="43"/>
      <c r="LE22" s="43"/>
      <c r="LF22" s="43"/>
      <c r="LG22" s="43"/>
      <c r="LH22" s="43"/>
      <c r="LI22" s="43"/>
      <c r="LJ22" s="43"/>
      <c r="LK22" s="43"/>
      <c r="LL22" s="43"/>
      <c r="LM22" s="43"/>
      <c r="LN22" s="43"/>
      <c r="LO22" s="43"/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3"/>
      <c r="MA22" s="43"/>
      <c r="MB22" s="43"/>
      <c r="MC22" s="43"/>
      <c r="MD22" s="43"/>
      <c r="ME22" s="43"/>
      <c r="MF22" s="43"/>
      <c r="MG22" s="43"/>
      <c r="MH22" s="43"/>
      <c r="MI22" s="43"/>
      <c r="MJ22" s="43"/>
      <c r="MK22" s="43"/>
      <c r="ML22" s="43"/>
      <c r="MM22" s="43"/>
      <c r="MN22" s="43"/>
      <c r="MO22" s="43"/>
      <c r="MP22" s="43"/>
      <c r="MQ22" s="43"/>
      <c r="MR22" s="43"/>
      <c r="MS22" s="43"/>
      <c r="MT22" s="43"/>
      <c r="MU22" s="43"/>
      <c r="MV22" s="43"/>
      <c r="MW22" s="43"/>
      <c r="MX22" s="43"/>
      <c r="MY22" s="43"/>
      <c r="MZ22" s="43"/>
      <c r="NA22" s="43"/>
      <c r="NB22" s="43"/>
      <c r="NC22" s="43"/>
      <c r="ND22" s="43"/>
      <c r="NE22" s="43"/>
      <c r="NF22" s="43"/>
      <c r="NG22" s="43"/>
      <c r="NH22" s="43"/>
      <c r="NI22" s="43"/>
      <c r="NJ22" s="43"/>
      <c r="NK22" s="43"/>
      <c r="NL22" s="43"/>
      <c r="NM22" s="43"/>
      <c r="NN22" s="43"/>
      <c r="NO22" s="43"/>
      <c r="NP22" s="43"/>
      <c r="NQ22" s="43"/>
      <c r="NR22" s="43"/>
      <c r="NS22" s="43"/>
      <c r="NT22" s="43"/>
      <c r="NU22" s="43"/>
      <c r="NV22" s="43"/>
      <c r="NW22" s="43"/>
      <c r="NX22" s="43"/>
      <c r="NY22" s="43"/>
      <c r="NZ22" s="43"/>
      <c r="OA22" s="43"/>
      <c r="OB22" s="43"/>
      <c r="OC22" s="43"/>
      <c r="OD22" s="43"/>
      <c r="OE22" s="43"/>
      <c r="OF22" s="43"/>
      <c r="OG22" s="43"/>
      <c r="OH22" s="43"/>
      <c r="OI22" s="43"/>
      <c r="OJ22" s="43"/>
      <c r="OK22" s="43"/>
      <c r="OL22" s="43"/>
      <c r="OM22" s="43"/>
      <c r="ON22" s="43"/>
      <c r="OO22" s="43"/>
      <c r="OP22" s="43"/>
      <c r="OQ22" s="43"/>
      <c r="OR22" s="43"/>
      <c r="OS22" s="43"/>
      <c r="OT22" s="43"/>
      <c r="OU22" s="43"/>
      <c r="OV22" s="43"/>
      <c r="OW22" s="43"/>
      <c r="OX22" s="43"/>
      <c r="OY22" s="43"/>
      <c r="OZ22" s="43"/>
      <c r="PA22" s="43"/>
      <c r="PB22" s="43"/>
      <c r="PC22" s="43"/>
      <c r="PD22" s="43"/>
      <c r="PE22" s="43"/>
      <c r="PF22" s="43"/>
      <c r="PG22" s="43"/>
      <c r="PH22" s="43"/>
      <c r="PI22" s="43"/>
      <c r="PJ22" s="43"/>
      <c r="PK22" s="43"/>
      <c r="PL22" s="43"/>
      <c r="PM22" s="43"/>
      <c r="PN22" s="43"/>
      <c r="PO22" s="43"/>
      <c r="PP22" s="43"/>
      <c r="PQ22" s="43"/>
      <c r="PR22" s="43"/>
      <c r="PS22" s="43"/>
      <c r="PT22" s="43"/>
      <c r="PU22" s="43"/>
      <c r="PV22" s="43"/>
      <c r="PW22" s="43"/>
      <c r="PX22" s="43"/>
      <c r="PY22" s="43"/>
      <c r="PZ22" s="43"/>
      <c r="QA22" s="43"/>
      <c r="QB22" s="43"/>
      <c r="QC22" s="43"/>
      <c r="QD22" s="43"/>
      <c r="QE22" s="43"/>
      <c r="QF22" s="43"/>
      <c r="QG22" s="43"/>
      <c r="QH22" s="43"/>
      <c r="QI22" s="43"/>
      <c r="QJ22" s="43"/>
      <c r="QK22" s="43"/>
      <c r="QL22" s="43"/>
      <c r="QM22" s="43"/>
      <c r="QN22" s="43"/>
      <c r="QO22" s="43"/>
      <c r="QP22" s="43"/>
      <c r="QQ22" s="43"/>
      <c r="QR22" s="43"/>
      <c r="QS22" s="43"/>
      <c r="QT22" s="43"/>
      <c r="QU22" s="43"/>
      <c r="QV22" s="43"/>
      <c r="QW22" s="43"/>
      <c r="QX22" s="43"/>
      <c r="QY22" s="43"/>
      <c r="QZ22" s="43"/>
      <c r="RA22" s="43"/>
      <c r="RB22" s="43"/>
      <c r="RC22" s="43"/>
      <c r="RD22" s="43"/>
      <c r="RE22" s="43"/>
      <c r="RF22" s="43"/>
      <c r="RG22" s="43"/>
      <c r="RH22" s="43"/>
      <c r="RI22" s="43"/>
      <c r="RJ22" s="43"/>
      <c r="RK22" s="43"/>
      <c r="RL22" s="43"/>
      <c r="RM22" s="43"/>
      <c r="RN22" s="43"/>
      <c r="RO22" s="43"/>
      <c r="RP22" s="43"/>
      <c r="RQ22" s="43"/>
      <c r="RR22" s="43"/>
      <c r="RS22" s="43"/>
      <c r="RT22" s="43"/>
      <c r="RU22" s="43"/>
      <c r="RV22" s="43"/>
      <c r="RW22" s="43"/>
      <c r="RX22" s="43"/>
      <c r="RY22" s="43"/>
      <c r="RZ22" s="43"/>
      <c r="SA22" s="43"/>
      <c r="SB22" s="43"/>
      <c r="SC22" s="43"/>
      <c r="SD22" s="43"/>
      <c r="SE22" s="43"/>
      <c r="SF22" s="43"/>
      <c r="SG22" s="43"/>
      <c r="SH22" s="43"/>
      <c r="SI22" s="43"/>
      <c r="SJ22" s="43"/>
      <c r="SK22" s="43"/>
      <c r="SL22" s="43"/>
      <c r="SM22" s="43"/>
      <c r="SN22" s="43"/>
      <c r="SO22" s="43"/>
      <c r="SP22" s="43"/>
      <c r="SQ22" s="43"/>
      <c r="SR22" s="43"/>
      <c r="SS22" s="43"/>
      <c r="ST22" s="43"/>
      <c r="SU22" s="43"/>
      <c r="SV22" s="43"/>
      <c r="SW22" s="43"/>
      <c r="SX22" s="43"/>
      <c r="SY22" s="43"/>
      <c r="SZ22" s="43"/>
      <c r="TA22" s="43"/>
      <c r="TB22" s="43"/>
      <c r="TC22" s="43"/>
      <c r="TD22" s="43"/>
      <c r="TE22" s="43"/>
      <c r="TF22" s="43"/>
      <c r="TG22" s="43"/>
      <c r="TH22" s="43"/>
      <c r="TI22" s="43"/>
      <c r="TJ22" s="43"/>
      <c r="TK22" s="43"/>
      <c r="TL22" s="43"/>
      <c r="TM22" s="43"/>
      <c r="TN22" s="43"/>
      <c r="TO22" s="43"/>
      <c r="TP22" s="43"/>
      <c r="TQ22" s="43"/>
      <c r="TR22" s="43"/>
      <c r="TS22" s="43"/>
      <c r="TT22" s="43"/>
      <c r="TU22" s="43"/>
      <c r="TV22" s="43"/>
      <c r="TW22" s="43"/>
      <c r="TX22" s="43"/>
      <c r="TY22" s="43"/>
      <c r="TZ22" s="43"/>
      <c r="UA22" s="43"/>
      <c r="UB22" s="43"/>
      <c r="UC22" s="43"/>
      <c r="UD22" s="43"/>
      <c r="UE22" s="43"/>
      <c r="UF22" s="43"/>
      <c r="UG22" s="43"/>
      <c r="UH22" s="43"/>
      <c r="UI22" s="43"/>
      <c r="UJ22" s="43"/>
      <c r="UK22" s="43"/>
      <c r="UL22" s="43"/>
      <c r="UM22" s="43"/>
      <c r="UN22" s="43"/>
      <c r="UO22" s="43"/>
      <c r="UP22" s="43"/>
      <c r="UQ22" s="43"/>
      <c r="UR22" s="43"/>
      <c r="US22" s="43"/>
      <c r="UT22" s="43"/>
      <c r="UU22" s="43"/>
      <c r="UV22" s="43"/>
      <c r="UW22" s="43"/>
      <c r="UX22" s="43"/>
      <c r="UY22" s="43"/>
      <c r="UZ22" s="43"/>
      <c r="VA22" s="43"/>
      <c r="VB22" s="43"/>
      <c r="VC22" s="43"/>
      <c r="VD22" s="43"/>
      <c r="VE22" s="43"/>
      <c r="VF22" s="43"/>
      <c r="VG22" s="43"/>
      <c r="VH22" s="43"/>
      <c r="VI22" s="43"/>
      <c r="VJ22" s="43"/>
      <c r="VK22" s="43"/>
      <c r="VL22" s="43"/>
      <c r="VM22" s="43"/>
      <c r="VN22" s="43"/>
      <c r="VO22" s="43"/>
      <c r="VP22" s="43"/>
      <c r="VQ22" s="43"/>
      <c r="VR22" s="43"/>
      <c r="VS22" s="43"/>
      <c r="VT22" s="43"/>
      <c r="VU22" s="43"/>
      <c r="VV22" s="43"/>
      <c r="VW22" s="43"/>
      <c r="VX22" s="43"/>
      <c r="VY22" s="43"/>
      <c r="VZ22" s="43"/>
      <c r="WA22" s="43"/>
      <c r="WB22" s="43"/>
      <c r="WC22" s="43"/>
      <c r="WD22" s="43"/>
      <c r="WE22" s="43"/>
      <c r="WF22" s="43"/>
      <c r="WG22" s="43"/>
      <c r="WH22" s="43"/>
      <c r="WI22" s="43"/>
      <c r="WJ22" s="43"/>
      <c r="WK22" s="43"/>
      <c r="WL22" s="43"/>
      <c r="WM22" s="43"/>
      <c r="WN22" s="43"/>
      <c r="WO22" s="43"/>
      <c r="WP22" s="43"/>
      <c r="WQ22" s="43"/>
      <c r="WR22" s="43"/>
      <c r="WS22" s="43"/>
      <c r="WT22" s="43"/>
      <c r="WU22" s="43"/>
      <c r="WV22" s="43"/>
      <c r="WW22" s="43"/>
      <c r="WX22" s="43"/>
      <c r="WY22" s="43"/>
      <c r="WZ22" s="43"/>
      <c r="XA22" s="43"/>
      <c r="XB22" s="43"/>
      <c r="XC22" s="43"/>
      <c r="XD22" s="43"/>
      <c r="XE22" s="43"/>
      <c r="XF22" s="43"/>
      <c r="XG22" s="43"/>
      <c r="XH22" s="43"/>
      <c r="XI22" s="43"/>
      <c r="XJ22" s="43"/>
      <c r="XK22" s="43"/>
      <c r="XL22" s="43"/>
      <c r="XM22" s="43"/>
      <c r="XN22" s="43"/>
      <c r="XO22" s="43"/>
      <c r="XP22" s="43"/>
      <c r="XQ22" s="43"/>
      <c r="XR22" s="43"/>
      <c r="XS22" s="43"/>
      <c r="XT22" s="43"/>
      <c r="XU22" s="43"/>
      <c r="XV22" s="43"/>
      <c r="XW22" s="43"/>
      <c r="XX22" s="43"/>
      <c r="XY22" s="43"/>
      <c r="XZ22" s="43"/>
      <c r="YA22" s="43"/>
      <c r="YB22" s="43"/>
      <c r="YC22" s="43"/>
      <c r="YD22" s="43"/>
      <c r="YE22" s="43"/>
      <c r="YF22" s="43"/>
      <c r="YG22" s="43"/>
      <c r="YH22" s="43"/>
      <c r="YI22" s="43"/>
      <c r="YJ22" s="43"/>
      <c r="YK22" s="43"/>
      <c r="YL22" s="43"/>
      <c r="YM22" s="43"/>
      <c r="YN22" s="43"/>
      <c r="YO22" s="43"/>
      <c r="YP22" s="43"/>
      <c r="YQ22" s="43"/>
      <c r="YR22" s="43"/>
      <c r="YS22" s="43"/>
      <c r="YT22" s="43"/>
      <c r="YU22" s="43"/>
      <c r="YV22" s="43"/>
      <c r="YW22" s="43"/>
      <c r="YX22" s="43"/>
      <c r="YY22" s="43"/>
      <c r="YZ22" s="43"/>
      <c r="ZA22" s="43"/>
      <c r="ZB22" s="43"/>
      <c r="ZC22" s="43"/>
      <c r="ZD22" s="43"/>
      <c r="ZE22" s="43"/>
      <c r="ZF22" s="43"/>
      <c r="ZG22" s="43"/>
      <c r="ZH22" s="43"/>
      <c r="ZI22" s="43"/>
      <c r="ZJ22" s="43"/>
      <c r="ZK22" s="43"/>
      <c r="ZL22" s="43"/>
      <c r="ZM22" s="43"/>
      <c r="ZN22" s="43"/>
      <c r="ZO22" s="43"/>
      <c r="ZP22" s="43"/>
      <c r="ZQ22" s="43"/>
      <c r="ZR22" s="43"/>
      <c r="ZS22" s="43"/>
      <c r="ZT22" s="43"/>
      <c r="ZU22" s="43"/>
      <c r="ZV22" s="43"/>
      <c r="ZW22" s="43"/>
      <c r="ZX22" s="43"/>
      <c r="ZY22" s="43"/>
      <c r="ZZ22" s="43"/>
      <c r="AAA22" s="43"/>
      <c r="AAB22" s="43"/>
      <c r="AAC22" s="43"/>
      <c r="AAD22" s="43"/>
      <c r="AAE22" s="43"/>
      <c r="AAF22" s="43"/>
      <c r="AAG22" s="43"/>
      <c r="AAH22" s="43"/>
      <c r="AAI22" s="43"/>
      <c r="AAJ22" s="43"/>
      <c r="AAK22" s="43"/>
      <c r="AAL22" s="43"/>
      <c r="AAM22" s="43"/>
      <c r="AAN22" s="43"/>
      <c r="AAO22" s="43"/>
      <c r="AAP22" s="43"/>
      <c r="AAQ22" s="43"/>
      <c r="AAR22" s="43"/>
      <c r="AAS22" s="43"/>
      <c r="AAT22" s="43"/>
      <c r="AAU22" s="43"/>
      <c r="AAV22" s="43"/>
      <c r="AAW22" s="43"/>
      <c r="AAX22" s="43"/>
      <c r="AAY22" s="43"/>
      <c r="AAZ22" s="43"/>
      <c r="ABA22" s="43"/>
      <c r="ABB22" s="43"/>
      <c r="ABC22" s="43"/>
      <c r="ABD22" s="43"/>
      <c r="ABE22" s="43"/>
      <c r="ABF22" s="43"/>
      <c r="ABG22" s="43"/>
      <c r="ABH22" s="43"/>
      <c r="ABI22" s="43"/>
      <c r="ABJ22" s="43"/>
      <c r="ABK22" s="43"/>
      <c r="ABL22" s="43"/>
      <c r="ABM22" s="43"/>
      <c r="ABN22" s="43"/>
      <c r="ABO22" s="43"/>
      <c r="ABP22" s="43"/>
      <c r="ABQ22" s="43"/>
      <c r="ABR22" s="43"/>
      <c r="ABS22" s="43"/>
      <c r="ABT22" s="43"/>
      <c r="ABU22" s="43"/>
      <c r="ABV22" s="43"/>
      <c r="ABW22" s="43"/>
      <c r="ABX22" s="43"/>
      <c r="ABY22" s="43"/>
      <c r="ABZ22" s="43"/>
      <c r="ACA22" s="43"/>
      <c r="ACB22" s="43"/>
      <c r="ACC22" s="43"/>
      <c r="ACD22" s="43"/>
      <c r="ACE22" s="43"/>
      <c r="ACF22" s="43"/>
      <c r="ACG22" s="43"/>
      <c r="ACH22" s="43"/>
      <c r="ACI22" s="43"/>
      <c r="ACJ22" s="43"/>
      <c r="ACK22" s="43"/>
      <c r="ACL22" s="43"/>
      <c r="ACM22" s="43"/>
      <c r="ACN22" s="43"/>
      <c r="ACO22" s="43"/>
      <c r="ACP22" s="43"/>
      <c r="ACQ22" s="43"/>
      <c r="ACR22" s="43"/>
      <c r="ACS22" s="43"/>
      <c r="ACT22" s="43"/>
      <c r="ACU22" s="43"/>
      <c r="ACV22" s="43"/>
      <c r="ACW22" s="43"/>
      <c r="ACX22" s="43"/>
      <c r="ACY22" s="43"/>
      <c r="ACZ22" s="43"/>
      <c r="ADA22" s="43"/>
      <c r="ADB22" s="43"/>
      <c r="ADC22" s="43"/>
      <c r="ADD22" s="43"/>
      <c r="ADE22" s="43"/>
      <c r="ADF22" s="43"/>
      <c r="ADG22" s="43"/>
      <c r="ADH22" s="43"/>
      <c r="ADI22" s="43"/>
      <c r="ADJ22" s="43"/>
      <c r="ADK22" s="43"/>
      <c r="ADL22" s="43"/>
      <c r="ADM22" s="43"/>
      <c r="ADN22" s="43"/>
      <c r="ADO22" s="43"/>
      <c r="ADP22" s="43"/>
      <c r="ADQ22" s="43"/>
      <c r="ADR22" s="43"/>
      <c r="ADS22" s="43"/>
      <c r="ADT22" s="43"/>
      <c r="ADU22" s="43"/>
      <c r="ADV22" s="43"/>
      <c r="ADW22" s="43"/>
      <c r="ADX22" s="43"/>
      <c r="ADY22" s="43"/>
      <c r="ADZ22" s="43"/>
      <c r="AEA22" s="43"/>
      <c r="AEB22" s="43"/>
      <c r="AEC22" s="43"/>
      <c r="AED22" s="43"/>
      <c r="AEE22" s="43"/>
      <c r="AEF22" s="43"/>
      <c r="AEG22" s="43"/>
      <c r="AEH22" s="43"/>
      <c r="AEI22" s="43"/>
      <c r="AEJ22" s="43"/>
      <c r="AEK22" s="43"/>
      <c r="AEL22" s="43"/>
      <c r="AEM22" s="43"/>
      <c r="AEN22" s="43"/>
      <c r="AEO22" s="43"/>
      <c r="AEP22" s="43"/>
      <c r="AEQ22" s="43"/>
      <c r="AER22" s="43"/>
      <c r="AES22" s="43"/>
      <c r="AET22" s="43"/>
      <c r="AEU22" s="43"/>
      <c r="AEV22" s="43"/>
      <c r="AEW22" s="43"/>
      <c r="AEX22" s="43"/>
      <c r="AEY22" s="43"/>
      <c r="AEZ22" s="43"/>
      <c r="AFA22" s="43"/>
      <c r="AFB22" s="43"/>
      <c r="AFC22" s="43"/>
      <c r="AFD22" s="43"/>
      <c r="AFE22" s="43"/>
      <c r="AFF22" s="43"/>
      <c r="AFG22" s="43"/>
      <c r="AFH22" s="43"/>
      <c r="AFI22" s="43"/>
      <c r="AFJ22" s="43"/>
      <c r="AFK22" s="43"/>
      <c r="AFL22" s="43"/>
      <c r="AFM22" s="43"/>
      <c r="AFN22" s="43"/>
      <c r="AFO22" s="43"/>
      <c r="AFP22" s="43"/>
      <c r="AFQ22" s="43"/>
      <c r="AFR22" s="43"/>
      <c r="AFS22" s="43"/>
      <c r="AFT22" s="43"/>
      <c r="AFU22" s="43"/>
      <c r="AFV22" s="43"/>
      <c r="AFW22" s="43"/>
      <c r="AFX22" s="43"/>
      <c r="AFY22" s="43"/>
      <c r="AFZ22" s="43"/>
      <c r="AGA22" s="43"/>
      <c r="AGB22" s="43"/>
      <c r="AGC22" s="43"/>
      <c r="AGD22" s="43"/>
      <c r="AGE22" s="43"/>
      <c r="AGF22" s="43"/>
      <c r="AGG22" s="43"/>
      <c r="AGH22" s="43"/>
      <c r="AGI22" s="43"/>
      <c r="AGJ22" s="43"/>
      <c r="AGK22" s="43"/>
      <c r="AGL22" s="43"/>
      <c r="AGM22" s="43"/>
      <c r="AGN22" s="43"/>
      <c r="AGO22" s="43"/>
      <c r="AGP22" s="43"/>
      <c r="AGQ22" s="43"/>
      <c r="AGR22" s="43"/>
      <c r="AGS22" s="43"/>
      <c r="AGT22" s="43"/>
      <c r="AGU22" s="43"/>
      <c r="AGV22" s="43"/>
      <c r="AGW22" s="43"/>
      <c r="AGX22" s="43"/>
      <c r="AGY22" s="43"/>
      <c r="AGZ22" s="43"/>
      <c r="AHA22" s="43"/>
      <c r="AHB22" s="43"/>
      <c r="AHC22" s="43"/>
      <c r="AHD22" s="43"/>
      <c r="AHE22" s="43"/>
      <c r="AHF22" s="43"/>
      <c r="AHG22" s="43"/>
      <c r="AHH22" s="43"/>
      <c r="AHI22" s="43"/>
      <c r="AHJ22" s="43"/>
      <c r="AHK22" s="43"/>
      <c r="AHL22" s="43"/>
      <c r="AHM22" s="43"/>
      <c r="AHN22" s="43"/>
      <c r="AHO22" s="43"/>
      <c r="AHP22" s="43"/>
      <c r="AHQ22" s="43"/>
      <c r="AHR22" s="43"/>
      <c r="AHS22" s="43"/>
      <c r="AHT22" s="43"/>
      <c r="AHU22" s="43"/>
      <c r="AHV22" s="43"/>
      <c r="AHW22" s="43"/>
      <c r="AHX22" s="43"/>
      <c r="AHY22" s="43"/>
      <c r="AHZ22" s="43"/>
      <c r="AIA22" s="43"/>
      <c r="AIB22" s="43"/>
      <c r="AIC22" s="43"/>
      <c r="AID22" s="43"/>
      <c r="AIE22" s="43"/>
      <c r="AIF22" s="43"/>
      <c r="AIG22" s="43"/>
      <c r="AIH22" s="43"/>
      <c r="AII22" s="43"/>
      <c r="AIJ22" s="43"/>
      <c r="AIK22" s="43"/>
      <c r="AIL22" s="43"/>
      <c r="AIM22" s="43"/>
      <c r="AIN22" s="43"/>
      <c r="AIO22" s="43"/>
      <c r="AIP22" s="43"/>
      <c r="AIQ22" s="43"/>
      <c r="AIR22" s="43"/>
      <c r="AIS22" s="43"/>
      <c r="AIT22" s="43"/>
      <c r="AIU22" s="43"/>
      <c r="AIV22" s="43"/>
      <c r="AIW22" s="43"/>
      <c r="AIX22" s="43"/>
      <c r="AIY22" s="43"/>
      <c r="AIZ22" s="43"/>
      <c r="AJA22" s="43"/>
      <c r="AJB22" s="43"/>
      <c r="AJC22" s="43"/>
      <c r="AJD22" s="43"/>
      <c r="AJE22" s="43"/>
      <c r="AJF22" s="43"/>
      <c r="AJG22" s="43"/>
      <c r="AJH22" s="43"/>
      <c r="AJI22" s="43"/>
      <c r="AJJ22" s="43"/>
      <c r="AJK22" s="43"/>
      <c r="AJL22" s="43"/>
      <c r="AJM22" s="43"/>
      <c r="AJN22" s="43"/>
      <c r="AJO22" s="43"/>
      <c r="AJP22" s="43"/>
      <c r="AJQ22" s="43"/>
      <c r="AJR22" s="43"/>
      <c r="AJS22" s="43"/>
      <c r="AJT22" s="43"/>
      <c r="AJU22" s="43"/>
      <c r="AJV22" s="43"/>
      <c r="AJW22" s="43"/>
      <c r="AJX22" s="43"/>
      <c r="AJY22" s="43"/>
      <c r="AJZ22" s="43"/>
      <c r="AKA22" s="43"/>
      <c r="AKB22" s="43"/>
      <c r="AKC22" s="43"/>
      <c r="AKD22" s="43"/>
      <c r="AKE22" s="43"/>
      <c r="AKF22" s="43"/>
      <c r="AKG22" s="43"/>
      <c r="AKH22" s="43"/>
      <c r="AKI22" s="43"/>
      <c r="AKJ22" s="43"/>
      <c r="AKK22" s="43"/>
      <c r="AKL22" s="43"/>
      <c r="AKM22" s="43"/>
      <c r="AKN22" s="43"/>
      <c r="AKO22" s="43"/>
      <c r="AKP22" s="43"/>
      <c r="AKQ22" s="43"/>
      <c r="AKR22" s="43"/>
      <c r="AKS22" s="43"/>
      <c r="AKT22" s="43"/>
      <c r="AKU22" s="43"/>
      <c r="AKV22" s="43"/>
      <c r="AKW22" s="43"/>
      <c r="AKX22" s="43"/>
      <c r="AKY22" s="43"/>
      <c r="AKZ22" s="43"/>
      <c r="ALA22" s="43"/>
      <c r="ALB22" s="43"/>
      <c r="ALC22" s="43"/>
      <c r="ALD22" s="43"/>
      <c r="ALE22" s="43"/>
      <c r="ALF22" s="43"/>
      <c r="ALG22" s="43"/>
      <c r="ALH22" s="43"/>
      <c r="ALI22" s="43"/>
      <c r="ALJ22" s="43"/>
      <c r="ALK22" s="43"/>
      <c r="ALL22" s="43"/>
      <c r="ALM22" s="43"/>
      <c r="ALN22" s="43"/>
      <c r="ALO22" s="43"/>
      <c r="ALP22" s="43"/>
      <c r="ALQ22" s="43"/>
      <c r="ALR22" s="43"/>
      <c r="ALS22" s="43"/>
      <c r="ALT22" s="43"/>
      <c r="ALU22" s="43"/>
      <c r="ALV22" s="43"/>
      <c r="ALW22" s="43"/>
      <c r="ALX22" s="43"/>
      <c r="ALY22" s="43"/>
      <c r="ALZ22" s="43"/>
      <c r="AMA22" s="43"/>
      <c r="AMB22" s="43"/>
      <c r="AMC22" s="43"/>
      <c r="AMD22" s="43"/>
      <c r="AME22" s="43"/>
      <c r="AMF22" s="43"/>
      <c r="AMG22" s="43"/>
      <c r="AMH22" s="43"/>
      <c r="AMI22" s="43"/>
    </row>
    <row r="23" spans="1:1024" s="35" customFormat="1" ht="15.75" x14ac:dyDescent="0.25">
      <c r="A23" s="52" t="s">
        <v>58</v>
      </c>
      <c r="B23" s="53">
        <f t="shared" ref="B23:C23" si="1">SUM(B20:B22)</f>
        <v>302267790</v>
      </c>
      <c r="C23" s="53">
        <f t="shared" si="1"/>
        <v>570992816</v>
      </c>
      <c r="D23" s="53">
        <f>SUM(D20:D22)</f>
        <v>19650397</v>
      </c>
      <c r="E23" s="53">
        <f t="shared" ref="E23:H23" si="2">SUM(E20:E22)</f>
        <v>150953173</v>
      </c>
      <c r="F23" s="53">
        <f t="shared" si="2"/>
        <v>24879440</v>
      </c>
      <c r="G23" s="53">
        <f t="shared" si="2"/>
        <v>86627215</v>
      </c>
      <c r="H23" s="53">
        <f t="shared" si="2"/>
        <v>1155370831</v>
      </c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  <c r="IW23" s="43"/>
      <c r="IX23" s="43"/>
      <c r="IY23" s="43"/>
      <c r="IZ23" s="43"/>
      <c r="JA23" s="43"/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43"/>
      <c r="JP23" s="43"/>
      <c r="JQ23" s="43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  <c r="KI23" s="43"/>
      <c r="KJ23" s="43"/>
      <c r="KK23" s="43"/>
      <c r="KL23" s="43"/>
      <c r="KM23" s="43"/>
      <c r="KN23" s="43"/>
      <c r="KO23" s="43"/>
      <c r="KP23" s="43"/>
      <c r="KQ23" s="43"/>
      <c r="KR23" s="43"/>
      <c r="KS23" s="43"/>
      <c r="KT23" s="43"/>
      <c r="KU23" s="43"/>
      <c r="KV23" s="43"/>
      <c r="KW23" s="43"/>
      <c r="KX23" s="43"/>
      <c r="KY23" s="43"/>
      <c r="KZ23" s="43"/>
      <c r="LA23" s="43"/>
      <c r="LB23" s="43"/>
      <c r="LC23" s="43"/>
      <c r="LD23" s="43"/>
      <c r="LE23" s="43"/>
      <c r="LF23" s="43"/>
      <c r="LG23" s="43"/>
      <c r="LH23" s="43"/>
      <c r="LI23" s="43"/>
      <c r="LJ23" s="43"/>
      <c r="LK23" s="43"/>
      <c r="LL23" s="43"/>
      <c r="LM23" s="43"/>
      <c r="LN23" s="43"/>
      <c r="LO23" s="43"/>
      <c r="LP23" s="43"/>
      <c r="LQ23" s="43"/>
      <c r="LR23" s="43"/>
      <c r="LS23" s="43"/>
      <c r="LT23" s="43"/>
      <c r="LU23" s="43"/>
      <c r="LV23" s="43"/>
      <c r="LW23" s="43"/>
      <c r="LX23" s="43"/>
      <c r="LY23" s="43"/>
      <c r="LZ23" s="43"/>
      <c r="MA23" s="43"/>
      <c r="MB23" s="43"/>
      <c r="MC23" s="43"/>
      <c r="MD23" s="43"/>
      <c r="ME23" s="43"/>
      <c r="MF23" s="43"/>
      <c r="MG23" s="43"/>
      <c r="MH23" s="43"/>
      <c r="MI23" s="43"/>
      <c r="MJ23" s="43"/>
      <c r="MK23" s="43"/>
      <c r="ML23" s="43"/>
      <c r="MM23" s="43"/>
      <c r="MN23" s="43"/>
      <c r="MO23" s="43"/>
      <c r="MP23" s="43"/>
      <c r="MQ23" s="43"/>
      <c r="MR23" s="43"/>
      <c r="MS23" s="43"/>
      <c r="MT23" s="43"/>
      <c r="MU23" s="43"/>
      <c r="MV23" s="43"/>
      <c r="MW23" s="43"/>
      <c r="MX23" s="43"/>
      <c r="MY23" s="43"/>
      <c r="MZ23" s="43"/>
      <c r="NA23" s="43"/>
      <c r="NB23" s="43"/>
      <c r="NC23" s="43"/>
      <c r="ND23" s="43"/>
      <c r="NE23" s="43"/>
      <c r="NF23" s="43"/>
      <c r="NG23" s="43"/>
      <c r="NH23" s="43"/>
      <c r="NI23" s="43"/>
      <c r="NJ23" s="43"/>
      <c r="NK23" s="43"/>
      <c r="NL23" s="43"/>
      <c r="NM23" s="43"/>
      <c r="NN23" s="43"/>
      <c r="NO23" s="43"/>
      <c r="NP23" s="43"/>
      <c r="NQ23" s="43"/>
      <c r="NR23" s="43"/>
      <c r="NS23" s="43"/>
      <c r="NT23" s="43"/>
      <c r="NU23" s="43"/>
      <c r="NV23" s="43"/>
      <c r="NW23" s="43"/>
      <c r="NX23" s="43"/>
      <c r="NY23" s="43"/>
      <c r="NZ23" s="43"/>
      <c r="OA23" s="43"/>
      <c r="OB23" s="43"/>
      <c r="OC23" s="43"/>
      <c r="OD23" s="43"/>
      <c r="OE23" s="43"/>
      <c r="OF23" s="43"/>
      <c r="OG23" s="43"/>
      <c r="OH23" s="43"/>
      <c r="OI23" s="43"/>
      <c r="OJ23" s="43"/>
      <c r="OK23" s="43"/>
      <c r="OL23" s="43"/>
      <c r="OM23" s="43"/>
      <c r="ON23" s="43"/>
      <c r="OO23" s="43"/>
      <c r="OP23" s="43"/>
      <c r="OQ23" s="43"/>
      <c r="OR23" s="43"/>
      <c r="OS23" s="43"/>
      <c r="OT23" s="43"/>
      <c r="OU23" s="43"/>
      <c r="OV23" s="43"/>
      <c r="OW23" s="43"/>
      <c r="OX23" s="43"/>
      <c r="OY23" s="43"/>
      <c r="OZ23" s="43"/>
      <c r="PA23" s="43"/>
      <c r="PB23" s="43"/>
      <c r="PC23" s="43"/>
      <c r="PD23" s="43"/>
      <c r="PE23" s="43"/>
      <c r="PF23" s="43"/>
      <c r="PG23" s="43"/>
      <c r="PH23" s="43"/>
      <c r="PI23" s="43"/>
      <c r="PJ23" s="43"/>
      <c r="PK23" s="43"/>
      <c r="PL23" s="43"/>
      <c r="PM23" s="43"/>
      <c r="PN23" s="43"/>
      <c r="PO23" s="43"/>
      <c r="PP23" s="43"/>
      <c r="PQ23" s="43"/>
      <c r="PR23" s="43"/>
      <c r="PS23" s="43"/>
      <c r="PT23" s="43"/>
      <c r="PU23" s="43"/>
      <c r="PV23" s="43"/>
      <c r="PW23" s="43"/>
      <c r="PX23" s="43"/>
      <c r="PY23" s="43"/>
      <c r="PZ23" s="43"/>
      <c r="QA23" s="43"/>
      <c r="QB23" s="43"/>
      <c r="QC23" s="43"/>
      <c r="QD23" s="43"/>
      <c r="QE23" s="43"/>
      <c r="QF23" s="43"/>
      <c r="QG23" s="43"/>
      <c r="QH23" s="43"/>
      <c r="QI23" s="43"/>
      <c r="QJ23" s="43"/>
      <c r="QK23" s="43"/>
      <c r="QL23" s="43"/>
      <c r="QM23" s="43"/>
      <c r="QN23" s="43"/>
      <c r="QO23" s="43"/>
      <c r="QP23" s="43"/>
      <c r="QQ23" s="43"/>
      <c r="QR23" s="43"/>
      <c r="QS23" s="43"/>
      <c r="QT23" s="43"/>
      <c r="QU23" s="43"/>
      <c r="QV23" s="43"/>
      <c r="QW23" s="43"/>
      <c r="QX23" s="43"/>
      <c r="QY23" s="43"/>
      <c r="QZ23" s="43"/>
      <c r="RA23" s="43"/>
      <c r="RB23" s="43"/>
      <c r="RC23" s="43"/>
      <c r="RD23" s="43"/>
      <c r="RE23" s="43"/>
      <c r="RF23" s="43"/>
      <c r="RG23" s="43"/>
      <c r="RH23" s="43"/>
      <c r="RI23" s="43"/>
      <c r="RJ23" s="43"/>
      <c r="RK23" s="43"/>
      <c r="RL23" s="43"/>
      <c r="RM23" s="43"/>
      <c r="RN23" s="43"/>
      <c r="RO23" s="43"/>
      <c r="RP23" s="43"/>
      <c r="RQ23" s="43"/>
      <c r="RR23" s="43"/>
      <c r="RS23" s="43"/>
      <c r="RT23" s="43"/>
      <c r="RU23" s="43"/>
      <c r="RV23" s="43"/>
      <c r="RW23" s="43"/>
      <c r="RX23" s="43"/>
      <c r="RY23" s="43"/>
      <c r="RZ23" s="43"/>
      <c r="SA23" s="43"/>
      <c r="SB23" s="43"/>
      <c r="SC23" s="43"/>
      <c r="SD23" s="43"/>
      <c r="SE23" s="43"/>
      <c r="SF23" s="43"/>
      <c r="SG23" s="43"/>
      <c r="SH23" s="43"/>
      <c r="SI23" s="43"/>
      <c r="SJ23" s="43"/>
      <c r="SK23" s="43"/>
      <c r="SL23" s="43"/>
      <c r="SM23" s="43"/>
      <c r="SN23" s="43"/>
      <c r="SO23" s="43"/>
      <c r="SP23" s="43"/>
      <c r="SQ23" s="43"/>
      <c r="SR23" s="43"/>
      <c r="SS23" s="43"/>
      <c r="ST23" s="43"/>
      <c r="SU23" s="43"/>
      <c r="SV23" s="43"/>
      <c r="SW23" s="43"/>
      <c r="SX23" s="43"/>
      <c r="SY23" s="43"/>
      <c r="SZ23" s="43"/>
      <c r="TA23" s="43"/>
      <c r="TB23" s="43"/>
      <c r="TC23" s="43"/>
      <c r="TD23" s="43"/>
      <c r="TE23" s="43"/>
      <c r="TF23" s="43"/>
      <c r="TG23" s="43"/>
      <c r="TH23" s="43"/>
      <c r="TI23" s="43"/>
      <c r="TJ23" s="43"/>
      <c r="TK23" s="43"/>
      <c r="TL23" s="43"/>
      <c r="TM23" s="43"/>
      <c r="TN23" s="43"/>
      <c r="TO23" s="43"/>
      <c r="TP23" s="43"/>
      <c r="TQ23" s="43"/>
      <c r="TR23" s="43"/>
      <c r="TS23" s="43"/>
      <c r="TT23" s="43"/>
      <c r="TU23" s="43"/>
      <c r="TV23" s="43"/>
      <c r="TW23" s="43"/>
      <c r="TX23" s="43"/>
      <c r="TY23" s="43"/>
      <c r="TZ23" s="43"/>
      <c r="UA23" s="43"/>
      <c r="UB23" s="43"/>
      <c r="UC23" s="43"/>
      <c r="UD23" s="43"/>
      <c r="UE23" s="43"/>
      <c r="UF23" s="43"/>
      <c r="UG23" s="43"/>
      <c r="UH23" s="43"/>
      <c r="UI23" s="43"/>
      <c r="UJ23" s="43"/>
      <c r="UK23" s="43"/>
      <c r="UL23" s="43"/>
      <c r="UM23" s="43"/>
      <c r="UN23" s="43"/>
      <c r="UO23" s="43"/>
      <c r="UP23" s="43"/>
      <c r="UQ23" s="43"/>
      <c r="UR23" s="43"/>
      <c r="US23" s="43"/>
      <c r="UT23" s="43"/>
      <c r="UU23" s="43"/>
      <c r="UV23" s="43"/>
      <c r="UW23" s="43"/>
      <c r="UX23" s="43"/>
      <c r="UY23" s="43"/>
      <c r="UZ23" s="43"/>
      <c r="VA23" s="43"/>
      <c r="VB23" s="43"/>
      <c r="VC23" s="43"/>
      <c r="VD23" s="43"/>
      <c r="VE23" s="43"/>
      <c r="VF23" s="43"/>
      <c r="VG23" s="43"/>
      <c r="VH23" s="43"/>
      <c r="VI23" s="43"/>
      <c r="VJ23" s="43"/>
      <c r="VK23" s="43"/>
      <c r="VL23" s="43"/>
      <c r="VM23" s="43"/>
      <c r="VN23" s="43"/>
      <c r="VO23" s="43"/>
      <c r="VP23" s="43"/>
      <c r="VQ23" s="43"/>
      <c r="VR23" s="43"/>
      <c r="VS23" s="43"/>
      <c r="VT23" s="43"/>
      <c r="VU23" s="43"/>
      <c r="VV23" s="43"/>
      <c r="VW23" s="43"/>
      <c r="VX23" s="43"/>
      <c r="VY23" s="43"/>
      <c r="VZ23" s="43"/>
      <c r="WA23" s="43"/>
      <c r="WB23" s="43"/>
      <c r="WC23" s="43"/>
      <c r="WD23" s="43"/>
      <c r="WE23" s="43"/>
      <c r="WF23" s="43"/>
      <c r="WG23" s="43"/>
      <c r="WH23" s="43"/>
      <c r="WI23" s="43"/>
      <c r="WJ23" s="43"/>
      <c r="WK23" s="43"/>
      <c r="WL23" s="43"/>
      <c r="WM23" s="43"/>
      <c r="WN23" s="43"/>
      <c r="WO23" s="43"/>
      <c r="WP23" s="43"/>
      <c r="WQ23" s="43"/>
      <c r="WR23" s="43"/>
      <c r="WS23" s="43"/>
      <c r="WT23" s="43"/>
      <c r="WU23" s="43"/>
      <c r="WV23" s="43"/>
      <c r="WW23" s="43"/>
      <c r="WX23" s="43"/>
      <c r="WY23" s="43"/>
      <c r="WZ23" s="43"/>
      <c r="XA23" s="43"/>
      <c r="XB23" s="43"/>
      <c r="XC23" s="43"/>
      <c r="XD23" s="43"/>
      <c r="XE23" s="43"/>
      <c r="XF23" s="43"/>
      <c r="XG23" s="43"/>
      <c r="XH23" s="43"/>
      <c r="XI23" s="43"/>
      <c r="XJ23" s="43"/>
      <c r="XK23" s="43"/>
      <c r="XL23" s="43"/>
      <c r="XM23" s="43"/>
      <c r="XN23" s="43"/>
      <c r="XO23" s="43"/>
      <c r="XP23" s="43"/>
      <c r="XQ23" s="43"/>
      <c r="XR23" s="43"/>
      <c r="XS23" s="43"/>
      <c r="XT23" s="43"/>
      <c r="XU23" s="43"/>
      <c r="XV23" s="43"/>
      <c r="XW23" s="43"/>
      <c r="XX23" s="43"/>
      <c r="XY23" s="43"/>
      <c r="XZ23" s="43"/>
      <c r="YA23" s="43"/>
      <c r="YB23" s="43"/>
      <c r="YC23" s="43"/>
      <c r="YD23" s="43"/>
      <c r="YE23" s="43"/>
      <c r="YF23" s="43"/>
      <c r="YG23" s="43"/>
      <c r="YH23" s="43"/>
      <c r="YI23" s="43"/>
      <c r="YJ23" s="43"/>
      <c r="YK23" s="43"/>
      <c r="YL23" s="43"/>
      <c r="YM23" s="43"/>
      <c r="YN23" s="43"/>
      <c r="YO23" s="43"/>
      <c r="YP23" s="43"/>
      <c r="YQ23" s="43"/>
      <c r="YR23" s="43"/>
      <c r="YS23" s="43"/>
      <c r="YT23" s="43"/>
      <c r="YU23" s="43"/>
      <c r="YV23" s="43"/>
      <c r="YW23" s="43"/>
      <c r="YX23" s="43"/>
      <c r="YY23" s="43"/>
      <c r="YZ23" s="43"/>
      <c r="ZA23" s="43"/>
      <c r="ZB23" s="43"/>
      <c r="ZC23" s="43"/>
      <c r="ZD23" s="43"/>
      <c r="ZE23" s="43"/>
      <c r="ZF23" s="43"/>
      <c r="ZG23" s="43"/>
      <c r="ZH23" s="43"/>
      <c r="ZI23" s="43"/>
      <c r="ZJ23" s="43"/>
      <c r="ZK23" s="43"/>
      <c r="ZL23" s="43"/>
      <c r="ZM23" s="43"/>
      <c r="ZN23" s="43"/>
      <c r="ZO23" s="43"/>
      <c r="ZP23" s="43"/>
      <c r="ZQ23" s="43"/>
      <c r="ZR23" s="43"/>
      <c r="ZS23" s="43"/>
      <c r="ZT23" s="43"/>
      <c r="ZU23" s="43"/>
      <c r="ZV23" s="43"/>
      <c r="ZW23" s="43"/>
      <c r="ZX23" s="43"/>
      <c r="ZY23" s="43"/>
      <c r="ZZ23" s="43"/>
      <c r="AAA23" s="43"/>
      <c r="AAB23" s="43"/>
      <c r="AAC23" s="43"/>
      <c r="AAD23" s="43"/>
      <c r="AAE23" s="43"/>
      <c r="AAF23" s="43"/>
      <c r="AAG23" s="43"/>
      <c r="AAH23" s="43"/>
      <c r="AAI23" s="43"/>
      <c r="AAJ23" s="43"/>
      <c r="AAK23" s="43"/>
      <c r="AAL23" s="43"/>
      <c r="AAM23" s="43"/>
      <c r="AAN23" s="43"/>
      <c r="AAO23" s="43"/>
      <c r="AAP23" s="43"/>
      <c r="AAQ23" s="43"/>
      <c r="AAR23" s="43"/>
      <c r="AAS23" s="43"/>
      <c r="AAT23" s="43"/>
      <c r="AAU23" s="43"/>
      <c r="AAV23" s="43"/>
      <c r="AAW23" s="43"/>
      <c r="AAX23" s="43"/>
      <c r="AAY23" s="43"/>
      <c r="AAZ23" s="43"/>
      <c r="ABA23" s="43"/>
      <c r="ABB23" s="43"/>
      <c r="ABC23" s="43"/>
      <c r="ABD23" s="43"/>
      <c r="ABE23" s="43"/>
      <c r="ABF23" s="43"/>
      <c r="ABG23" s="43"/>
      <c r="ABH23" s="43"/>
      <c r="ABI23" s="43"/>
      <c r="ABJ23" s="43"/>
      <c r="ABK23" s="43"/>
      <c r="ABL23" s="43"/>
      <c r="ABM23" s="43"/>
      <c r="ABN23" s="43"/>
      <c r="ABO23" s="43"/>
      <c r="ABP23" s="43"/>
      <c r="ABQ23" s="43"/>
      <c r="ABR23" s="43"/>
      <c r="ABS23" s="43"/>
      <c r="ABT23" s="43"/>
      <c r="ABU23" s="43"/>
      <c r="ABV23" s="43"/>
      <c r="ABW23" s="43"/>
      <c r="ABX23" s="43"/>
      <c r="ABY23" s="43"/>
      <c r="ABZ23" s="43"/>
      <c r="ACA23" s="43"/>
      <c r="ACB23" s="43"/>
      <c r="ACC23" s="43"/>
      <c r="ACD23" s="43"/>
      <c r="ACE23" s="43"/>
      <c r="ACF23" s="43"/>
      <c r="ACG23" s="43"/>
      <c r="ACH23" s="43"/>
      <c r="ACI23" s="43"/>
      <c r="ACJ23" s="43"/>
      <c r="ACK23" s="43"/>
      <c r="ACL23" s="43"/>
      <c r="ACM23" s="43"/>
      <c r="ACN23" s="43"/>
      <c r="ACO23" s="43"/>
      <c r="ACP23" s="43"/>
      <c r="ACQ23" s="43"/>
      <c r="ACR23" s="43"/>
      <c r="ACS23" s="43"/>
      <c r="ACT23" s="43"/>
      <c r="ACU23" s="43"/>
      <c r="ACV23" s="43"/>
      <c r="ACW23" s="43"/>
      <c r="ACX23" s="43"/>
      <c r="ACY23" s="43"/>
      <c r="ACZ23" s="43"/>
      <c r="ADA23" s="43"/>
      <c r="ADB23" s="43"/>
      <c r="ADC23" s="43"/>
      <c r="ADD23" s="43"/>
      <c r="ADE23" s="43"/>
      <c r="ADF23" s="43"/>
      <c r="ADG23" s="43"/>
      <c r="ADH23" s="43"/>
      <c r="ADI23" s="43"/>
      <c r="ADJ23" s="43"/>
      <c r="ADK23" s="43"/>
      <c r="ADL23" s="43"/>
      <c r="ADM23" s="43"/>
      <c r="ADN23" s="43"/>
      <c r="ADO23" s="43"/>
      <c r="ADP23" s="43"/>
      <c r="ADQ23" s="43"/>
      <c r="ADR23" s="43"/>
      <c r="ADS23" s="43"/>
      <c r="ADT23" s="43"/>
      <c r="ADU23" s="43"/>
      <c r="ADV23" s="43"/>
      <c r="ADW23" s="43"/>
      <c r="ADX23" s="43"/>
      <c r="ADY23" s="43"/>
      <c r="ADZ23" s="43"/>
      <c r="AEA23" s="43"/>
      <c r="AEB23" s="43"/>
      <c r="AEC23" s="43"/>
      <c r="AED23" s="43"/>
      <c r="AEE23" s="43"/>
      <c r="AEF23" s="43"/>
      <c r="AEG23" s="43"/>
      <c r="AEH23" s="43"/>
      <c r="AEI23" s="43"/>
      <c r="AEJ23" s="43"/>
      <c r="AEK23" s="43"/>
      <c r="AEL23" s="43"/>
      <c r="AEM23" s="43"/>
      <c r="AEN23" s="43"/>
      <c r="AEO23" s="43"/>
      <c r="AEP23" s="43"/>
      <c r="AEQ23" s="43"/>
      <c r="AER23" s="43"/>
      <c r="AES23" s="43"/>
      <c r="AET23" s="43"/>
      <c r="AEU23" s="43"/>
      <c r="AEV23" s="43"/>
      <c r="AEW23" s="43"/>
      <c r="AEX23" s="43"/>
      <c r="AEY23" s="43"/>
      <c r="AEZ23" s="43"/>
      <c r="AFA23" s="43"/>
      <c r="AFB23" s="43"/>
      <c r="AFC23" s="43"/>
      <c r="AFD23" s="43"/>
      <c r="AFE23" s="43"/>
      <c r="AFF23" s="43"/>
      <c r="AFG23" s="43"/>
      <c r="AFH23" s="43"/>
      <c r="AFI23" s="43"/>
      <c r="AFJ23" s="43"/>
      <c r="AFK23" s="43"/>
      <c r="AFL23" s="43"/>
      <c r="AFM23" s="43"/>
      <c r="AFN23" s="43"/>
      <c r="AFO23" s="43"/>
      <c r="AFP23" s="43"/>
      <c r="AFQ23" s="43"/>
      <c r="AFR23" s="43"/>
      <c r="AFS23" s="43"/>
      <c r="AFT23" s="43"/>
      <c r="AFU23" s="43"/>
      <c r="AFV23" s="43"/>
      <c r="AFW23" s="43"/>
      <c r="AFX23" s="43"/>
      <c r="AFY23" s="43"/>
      <c r="AFZ23" s="43"/>
      <c r="AGA23" s="43"/>
      <c r="AGB23" s="43"/>
      <c r="AGC23" s="43"/>
      <c r="AGD23" s="43"/>
      <c r="AGE23" s="43"/>
      <c r="AGF23" s="43"/>
      <c r="AGG23" s="43"/>
      <c r="AGH23" s="43"/>
      <c r="AGI23" s="43"/>
      <c r="AGJ23" s="43"/>
      <c r="AGK23" s="43"/>
      <c r="AGL23" s="43"/>
      <c r="AGM23" s="43"/>
      <c r="AGN23" s="43"/>
      <c r="AGO23" s="43"/>
      <c r="AGP23" s="43"/>
      <c r="AGQ23" s="43"/>
      <c r="AGR23" s="43"/>
      <c r="AGS23" s="43"/>
      <c r="AGT23" s="43"/>
      <c r="AGU23" s="43"/>
      <c r="AGV23" s="43"/>
      <c r="AGW23" s="43"/>
      <c r="AGX23" s="43"/>
      <c r="AGY23" s="43"/>
      <c r="AGZ23" s="43"/>
      <c r="AHA23" s="43"/>
      <c r="AHB23" s="43"/>
      <c r="AHC23" s="43"/>
      <c r="AHD23" s="43"/>
      <c r="AHE23" s="43"/>
      <c r="AHF23" s="43"/>
      <c r="AHG23" s="43"/>
      <c r="AHH23" s="43"/>
      <c r="AHI23" s="43"/>
      <c r="AHJ23" s="43"/>
      <c r="AHK23" s="43"/>
      <c r="AHL23" s="43"/>
      <c r="AHM23" s="43"/>
      <c r="AHN23" s="43"/>
      <c r="AHO23" s="43"/>
      <c r="AHP23" s="43"/>
      <c r="AHQ23" s="43"/>
      <c r="AHR23" s="43"/>
      <c r="AHS23" s="43"/>
      <c r="AHT23" s="43"/>
      <c r="AHU23" s="43"/>
      <c r="AHV23" s="43"/>
      <c r="AHW23" s="43"/>
      <c r="AHX23" s="43"/>
      <c r="AHY23" s="43"/>
      <c r="AHZ23" s="43"/>
      <c r="AIA23" s="43"/>
      <c r="AIB23" s="43"/>
      <c r="AIC23" s="43"/>
      <c r="AID23" s="43"/>
      <c r="AIE23" s="43"/>
      <c r="AIF23" s="43"/>
      <c r="AIG23" s="43"/>
      <c r="AIH23" s="43"/>
      <c r="AII23" s="43"/>
      <c r="AIJ23" s="43"/>
      <c r="AIK23" s="43"/>
      <c r="AIL23" s="43"/>
      <c r="AIM23" s="43"/>
      <c r="AIN23" s="43"/>
      <c r="AIO23" s="43"/>
      <c r="AIP23" s="43"/>
      <c r="AIQ23" s="43"/>
      <c r="AIR23" s="43"/>
      <c r="AIS23" s="43"/>
      <c r="AIT23" s="43"/>
      <c r="AIU23" s="43"/>
      <c r="AIV23" s="43"/>
      <c r="AIW23" s="43"/>
      <c r="AIX23" s="43"/>
      <c r="AIY23" s="43"/>
      <c r="AIZ23" s="43"/>
      <c r="AJA23" s="43"/>
      <c r="AJB23" s="43"/>
      <c r="AJC23" s="43"/>
      <c r="AJD23" s="43"/>
      <c r="AJE23" s="43"/>
      <c r="AJF23" s="43"/>
      <c r="AJG23" s="43"/>
      <c r="AJH23" s="43"/>
      <c r="AJI23" s="43"/>
      <c r="AJJ23" s="43"/>
      <c r="AJK23" s="43"/>
      <c r="AJL23" s="43"/>
      <c r="AJM23" s="43"/>
      <c r="AJN23" s="43"/>
      <c r="AJO23" s="43"/>
      <c r="AJP23" s="43"/>
      <c r="AJQ23" s="43"/>
      <c r="AJR23" s="43"/>
      <c r="AJS23" s="43"/>
      <c r="AJT23" s="43"/>
      <c r="AJU23" s="43"/>
      <c r="AJV23" s="43"/>
      <c r="AJW23" s="43"/>
      <c r="AJX23" s="43"/>
      <c r="AJY23" s="43"/>
      <c r="AJZ23" s="43"/>
      <c r="AKA23" s="43"/>
      <c r="AKB23" s="43"/>
      <c r="AKC23" s="43"/>
      <c r="AKD23" s="43"/>
      <c r="AKE23" s="43"/>
      <c r="AKF23" s="43"/>
      <c r="AKG23" s="43"/>
      <c r="AKH23" s="43"/>
      <c r="AKI23" s="43"/>
      <c r="AKJ23" s="43"/>
      <c r="AKK23" s="43"/>
      <c r="AKL23" s="43"/>
      <c r="AKM23" s="43"/>
      <c r="AKN23" s="43"/>
      <c r="AKO23" s="43"/>
      <c r="AKP23" s="43"/>
      <c r="AKQ23" s="43"/>
      <c r="AKR23" s="43"/>
      <c r="AKS23" s="43"/>
      <c r="AKT23" s="43"/>
      <c r="AKU23" s="43"/>
      <c r="AKV23" s="43"/>
      <c r="AKW23" s="43"/>
      <c r="AKX23" s="43"/>
      <c r="AKY23" s="43"/>
      <c r="AKZ23" s="43"/>
      <c r="ALA23" s="43"/>
      <c r="ALB23" s="43"/>
      <c r="ALC23" s="43"/>
      <c r="ALD23" s="43"/>
      <c r="ALE23" s="43"/>
      <c r="ALF23" s="43"/>
      <c r="ALG23" s="43"/>
      <c r="ALH23" s="43"/>
      <c r="ALI23" s="43"/>
      <c r="ALJ23" s="43"/>
      <c r="ALK23" s="43"/>
      <c r="ALL23" s="43"/>
      <c r="ALM23" s="43"/>
      <c r="ALN23" s="43"/>
      <c r="ALO23" s="43"/>
      <c r="ALP23" s="43"/>
      <c r="ALQ23" s="43"/>
      <c r="ALR23" s="43"/>
      <c r="ALS23" s="43"/>
      <c r="ALT23" s="43"/>
      <c r="ALU23" s="43"/>
      <c r="ALV23" s="43"/>
      <c r="ALW23" s="43"/>
      <c r="ALX23" s="43"/>
      <c r="ALY23" s="43"/>
      <c r="ALZ23" s="43"/>
      <c r="AMA23" s="43"/>
      <c r="AMB23" s="43"/>
      <c r="AMC23" s="43"/>
      <c r="AMD23" s="43"/>
      <c r="AME23" s="43"/>
      <c r="AMF23" s="43"/>
      <c r="AMG23" s="43"/>
      <c r="AMH23" s="43"/>
      <c r="AMI23" s="43"/>
    </row>
    <row r="24" spans="1:1024" s="43" customFormat="1" ht="15.75" x14ac:dyDescent="0.25">
      <c r="A24" s="45"/>
      <c r="B24" s="54"/>
      <c r="C24" s="54"/>
      <c r="D24" s="54"/>
      <c r="E24" s="54"/>
      <c r="F24" s="54"/>
      <c r="G24" s="54"/>
      <c r="H24" s="54"/>
      <c r="I24" s="54"/>
    </row>
    <row r="25" spans="1:1024" s="43" customFormat="1" ht="15.75" x14ac:dyDescent="0.25">
      <c r="A25" s="45" t="s">
        <v>101</v>
      </c>
      <c r="B25" s="98"/>
      <c r="C25" s="54"/>
      <c r="D25" s="54"/>
      <c r="E25" s="306" t="s">
        <v>102</v>
      </c>
      <c r="F25" s="306"/>
      <c r="G25" s="98"/>
      <c r="H25" s="54"/>
      <c r="I25" s="54"/>
    </row>
    <row r="26" spans="1:1024" ht="30" x14ac:dyDescent="0.25">
      <c r="A26" s="44" t="s">
        <v>52</v>
      </c>
      <c r="B26" s="44" t="s">
        <v>103</v>
      </c>
      <c r="C26" s="54"/>
      <c r="D26" s="44" t="s">
        <v>52</v>
      </c>
      <c r="E26" s="45" t="s">
        <v>104</v>
      </c>
      <c r="F26" s="54"/>
      <c r="G26" s="54"/>
      <c r="AMH26" s="41"/>
      <c r="AMI26" s="41"/>
      <c r="AMJ26" s="41"/>
    </row>
    <row r="27" spans="1:1024" ht="174.75" customHeight="1" x14ac:dyDescent="0.25">
      <c r="A27" s="46" t="s">
        <v>9</v>
      </c>
      <c r="B27" s="47">
        <f>' KESZI ktgvetési mérleg'!F17</f>
        <v>27557544</v>
      </c>
      <c r="C27" s="54"/>
      <c r="D27" s="50" t="s">
        <v>164</v>
      </c>
      <c r="E27" s="47">
        <f>' KESZI ktgvetési mérleg'!E55+' KESZI ktgvetési mérleg'!E58+' KESZI ktgvetési mérleg'!E59+14700012</f>
        <v>27557544</v>
      </c>
      <c r="F27" s="54"/>
      <c r="G27" s="54"/>
      <c r="AMH27" s="41"/>
      <c r="AMI27" s="41"/>
      <c r="AMJ27" s="41"/>
    </row>
    <row r="28" spans="1:1024" ht="60" x14ac:dyDescent="0.25">
      <c r="A28" s="46" t="s">
        <v>80</v>
      </c>
      <c r="B28" s="47">
        <f>'CSGYK ktgvetési mérleg'!F17</f>
        <v>16083802</v>
      </c>
      <c r="C28" s="54"/>
      <c r="D28" s="46" t="s">
        <v>165</v>
      </c>
      <c r="E28" s="47">
        <f>'CSGYK ktgvetési mérleg'!F31+13014318</f>
        <v>16083802</v>
      </c>
      <c r="F28" s="54"/>
      <c r="G28" s="54"/>
      <c r="I28" s="171"/>
      <c r="AMH28" s="41"/>
      <c r="AMI28" s="41"/>
      <c r="AMJ28" s="41"/>
    </row>
    <row r="29" spans="1:1024" ht="105" x14ac:dyDescent="0.25">
      <c r="A29" s="46" t="s">
        <v>7</v>
      </c>
      <c r="B29" s="47">
        <f>'Társulás ktgvetési mérleg'!F18</f>
        <v>208571509</v>
      </c>
      <c r="C29" s="54"/>
      <c r="D29" s="46" t="s">
        <v>166</v>
      </c>
      <c r="E29" s="47">
        <f>'Társulás ktgvetési mérleg'!F33-G22+'Társulás ktgvetési mérleg'!F26</f>
        <v>255939166</v>
      </c>
      <c r="F29" s="54"/>
      <c r="G29" s="54"/>
      <c r="AMH29" s="41"/>
      <c r="AMI29" s="41"/>
      <c r="AMJ29" s="41"/>
    </row>
    <row r="30" spans="1:1024" ht="15.75" x14ac:dyDescent="0.25">
      <c r="A30" s="48" t="s">
        <v>58</v>
      </c>
      <c r="B30" s="49">
        <f>SUM(B27:B29)</f>
        <v>252212855</v>
      </c>
      <c r="C30" s="54"/>
      <c r="D30" s="52" t="s">
        <v>58</v>
      </c>
      <c r="E30" s="53">
        <f>SUM(E27:E29)</f>
        <v>299580512</v>
      </c>
      <c r="F30" s="54"/>
      <c r="G30" s="54"/>
      <c r="AMH30" s="41"/>
      <c r="AMI30" s="41"/>
      <c r="AMJ30" s="41"/>
    </row>
    <row r="31" spans="1:1024" s="35" customFormat="1" ht="15.75" x14ac:dyDescent="0.25">
      <c r="A31" s="45"/>
      <c r="B31" s="54"/>
      <c r="C31" s="54"/>
      <c r="D31" s="54"/>
      <c r="E31" s="54"/>
      <c r="F31" s="54"/>
      <c r="G31" s="54"/>
      <c r="H31" s="54"/>
      <c r="I31" s="54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  <c r="IW31" s="43"/>
      <c r="IX31" s="43"/>
      <c r="IY31" s="43"/>
      <c r="IZ31" s="43"/>
      <c r="JA31" s="43"/>
      <c r="JB31" s="43"/>
      <c r="JC31" s="43"/>
      <c r="JD31" s="43"/>
      <c r="JE31" s="43"/>
      <c r="JF31" s="43"/>
      <c r="JG31" s="43"/>
      <c r="JH31" s="43"/>
      <c r="JI31" s="43"/>
      <c r="JJ31" s="43"/>
      <c r="JK31" s="43"/>
      <c r="JL31" s="43"/>
      <c r="JM31" s="43"/>
      <c r="JN31" s="43"/>
      <c r="JO31" s="43"/>
      <c r="JP31" s="43"/>
      <c r="JQ31" s="43"/>
      <c r="JR31" s="43"/>
      <c r="JS31" s="43"/>
      <c r="JT31" s="43"/>
      <c r="JU31" s="43"/>
      <c r="JV31" s="43"/>
      <c r="JW31" s="43"/>
      <c r="JX31" s="43"/>
      <c r="JY31" s="43"/>
      <c r="JZ31" s="43"/>
      <c r="KA31" s="43"/>
      <c r="KB31" s="43"/>
      <c r="KC31" s="43"/>
      <c r="KD31" s="43"/>
      <c r="KE31" s="43"/>
      <c r="KF31" s="43"/>
      <c r="KG31" s="43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  <c r="ZQ31" s="43"/>
      <c r="ZR31" s="43"/>
      <c r="ZS31" s="43"/>
      <c r="ZT31" s="43"/>
      <c r="ZU31" s="43"/>
      <c r="ZV31" s="43"/>
      <c r="ZW31" s="43"/>
      <c r="ZX31" s="43"/>
      <c r="ZY31" s="43"/>
      <c r="ZZ31" s="43"/>
      <c r="AAA31" s="43"/>
      <c r="AAB31" s="43"/>
      <c r="AAC31" s="43"/>
      <c r="AAD31" s="43"/>
      <c r="AAE31" s="43"/>
      <c r="AAF31" s="43"/>
      <c r="AAG31" s="43"/>
      <c r="AAH31" s="43"/>
      <c r="AAI31" s="43"/>
      <c r="AAJ31" s="43"/>
      <c r="AAK31" s="43"/>
      <c r="AAL31" s="43"/>
      <c r="AAM31" s="43"/>
      <c r="AAN31" s="43"/>
      <c r="AAO31" s="43"/>
      <c r="AAP31" s="43"/>
      <c r="AAQ31" s="43"/>
      <c r="AAR31" s="43"/>
      <c r="AAS31" s="43"/>
      <c r="AAT31" s="43"/>
      <c r="AAU31" s="43"/>
      <c r="AAV31" s="43"/>
      <c r="AAW31" s="43"/>
      <c r="AAX31" s="43"/>
      <c r="AAY31" s="43"/>
      <c r="AAZ31" s="43"/>
      <c r="ABA31" s="43"/>
      <c r="ABB31" s="43"/>
      <c r="ABC31" s="43"/>
      <c r="ABD31" s="43"/>
      <c r="ABE31" s="43"/>
      <c r="ABF31" s="43"/>
      <c r="ABG31" s="43"/>
      <c r="ABH31" s="43"/>
      <c r="ABI31" s="43"/>
      <c r="ABJ31" s="43"/>
      <c r="ABK31" s="43"/>
      <c r="ABL31" s="43"/>
      <c r="ABM31" s="43"/>
      <c r="ABN31" s="43"/>
      <c r="ABO31" s="43"/>
      <c r="ABP31" s="43"/>
      <c r="ABQ31" s="43"/>
      <c r="ABR31" s="43"/>
      <c r="ABS31" s="43"/>
      <c r="ABT31" s="43"/>
      <c r="ABU31" s="43"/>
      <c r="ABV31" s="43"/>
      <c r="ABW31" s="43"/>
      <c r="ABX31" s="43"/>
      <c r="ABY31" s="43"/>
      <c r="ABZ31" s="43"/>
      <c r="ACA31" s="43"/>
      <c r="ACB31" s="43"/>
      <c r="ACC31" s="43"/>
      <c r="ACD31" s="43"/>
      <c r="ACE31" s="43"/>
      <c r="ACF31" s="43"/>
      <c r="ACG31" s="43"/>
      <c r="ACH31" s="43"/>
      <c r="ACI31" s="43"/>
      <c r="ACJ31" s="43"/>
      <c r="ACK31" s="43"/>
      <c r="ACL31" s="43"/>
      <c r="ACM31" s="43"/>
      <c r="ACN31" s="43"/>
      <c r="ACO31" s="43"/>
      <c r="ACP31" s="43"/>
      <c r="ACQ31" s="43"/>
      <c r="ACR31" s="43"/>
      <c r="ACS31" s="43"/>
      <c r="ACT31" s="43"/>
      <c r="ACU31" s="43"/>
      <c r="ACV31" s="43"/>
      <c r="ACW31" s="43"/>
      <c r="ACX31" s="43"/>
      <c r="ACY31" s="43"/>
      <c r="ACZ31" s="43"/>
      <c r="ADA31" s="43"/>
      <c r="ADB31" s="43"/>
      <c r="ADC31" s="43"/>
      <c r="ADD31" s="43"/>
      <c r="ADE31" s="43"/>
      <c r="ADF31" s="43"/>
      <c r="ADG31" s="43"/>
      <c r="ADH31" s="43"/>
      <c r="ADI31" s="43"/>
      <c r="ADJ31" s="43"/>
      <c r="ADK31" s="43"/>
      <c r="ADL31" s="43"/>
      <c r="ADM31" s="43"/>
      <c r="ADN31" s="43"/>
      <c r="ADO31" s="43"/>
      <c r="ADP31" s="43"/>
      <c r="ADQ31" s="43"/>
      <c r="ADR31" s="43"/>
      <c r="ADS31" s="43"/>
      <c r="ADT31" s="43"/>
      <c r="ADU31" s="43"/>
      <c r="ADV31" s="43"/>
      <c r="ADW31" s="43"/>
      <c r="ADX31" s="43"/>
      <c r="ADY31" s="43"/>
      <c r="ADZ31" s="43"/>
      <c r="AEA31" s="43"/>
      <c r="AEB31" s="43"/>
      <c r="AEC31" s="43"/>
      <c r="AED31" s="43"/>
      <c r="AEE31" s="43"/>
      <c r="AEF31" s="43"/>
      <c r="AEG31" s="43"/>
      <c r="AEH31" s="43"/>
      <c r="AEI31" s="43"/>
      <c r="AEJ31" s="43"/>
      <c r="AEK31" s="43"/>
      <c r="AEL31" s="43"/>
      <c r="AEM31" s="43"/>
      <c r="AEN31" s="43"/>
      <c r="AEO31" s="43"/>
      <c r="AEP31" s="43"/>
      <c r="AEQ31" s="43"/>
      <c r="AER31" s="43"/>
      <c r="AES31" s="43"/>
      <c r="AET31" s="43"/>
      <c r="AEU31" s="43"/>
      <c r="AEV31" s="43"/>
      <c r="AEW31" s="43"/>
      <c r="AEX31" s="43"/>
      <c r="AEY31" s="43"/>
      <c r="AEZ31" s="43"/>
      <c r="AFA31" s="43"/>
      <c r="AFB31" s="43"/>
      <c r="AFC31" s="43"/>
      <c r="AFD31" s="43"/>
      <c r="AFE31" s="43"/>
      <c r="AFF31" s="43"/>
      <c r="AFG31" s="43"/>
      <c r="AFH31" s="43"/>
      <c r="AFI31" s="43"/>
      <c r="AFJ31" s="43"/>
      <c r="AFK31" s="43"/>
      <c r="AFL31" s="43"/>
      <c r="AFM31" s="43"/>
      <c r="AFN31" s="43"/>
      <c r="AFO31" s="43"/>
      <c r="AFP31" s="43"/>
      <c r="AFQ31" s="43"/>
      <c r="AFR31" s="43"/>
      <c r="AFS31" s="43"/>
      <c r="AFT31" s="43"/>
      <c r="AFU31" s="43"/>
      <c r="AFV31" s="43"/>
      <c r="AFW31" s="43"/>
      <c r="AFX31" s="43"/>
      <c r="AFY31" s="43"/>
      <c r="AFZ31" s="43"/>
      <c r="AGA31" s="43"/>
      <c r="AGB31" s="43"/>
      <c r="AGC31" s="43"/>
      <c r="AGD31" s="43"/>
      <c r="AGE31" s="43"/>
      <c r="AGF31" s="43"/>
      <c r="AGG31" s="43"/>
      <c r="AGH31" s="43"/>
      <c r="AGI31" s="43"/>
      <c r="AGJ31" s="43"/>
      <c r="AGK31" s="43"/>
      <c r="AGL31" s="43"/>
      <c r="AGM31" s="43"/>
      <c r="AGN31" s="43"/>
      <c r="AGO31" s="43"/>
      <c r="AGP31" s="43"/>
      <c r="AGQ31" s="43"/>
      <c r="AGR31" s="43"/>
      <c r="AGS31" s="43"/>
      <c r="AGT31" s="43"/>
      <c r="AGU31" s="43"/>
      <c r="AGV31" s="43"/>
      <c r="AGW31" s="43"/>
      <c r="AGX31" s="43"/>
      <c r="AGY31" s="43"/>
      <c r="AGZ31" s="43"/>
      <c r="AHA31" s="43"/>
      <c r="AHB31" s="43"/>
      <c r="AHC31" s="43"/>
      <c r="AHD31" s="43"/>
      <c r="AHE31" s="43"/>
      <c r="AHF31" s="43"/>
      <c r="AHG31" s="43"/>
      <c r="AHH31" s="43"/>
      <c r="AHI31" s="43"/>
      <c r="AHJ31" s="43"/>
      <c r="AHK31" s="43"/>
      <c r="AHL31" s="43"/>
      <c r="AHM31" s="43"/>
      <c r="AHN31" s="43"/>
      <c r="AHO31" s="43"/>
      <c r="AHP31" s="43"/>
      <c r="AHQ31" s="43"/>
      <c r="AHR31" s="43"/>
      <c r="AHS31" s="43"/>
      <c r="AHT31" s="43"/>
      <c r="AHU31" s="43"/>
      <c r="AHV31" s="43"/>
      <c r="AHW31" s="43"/>
      <c r="AHX31" s="43"/>
      <c r="AHY31" s="43"/>
      <c r="AHZ31" s="43"/>
      <c r="AIA31" s="43"/>
      <c r="AIB31" s="43"/>
      <c r="AIC31" s="43"/>
      <c r="AID31" s="43"/>
      <c r="AIE31" s="43"/>
      <c r="AIF31" s="43"/>
      <c r="AIG31" s="43"/>
      <c r="AIH31" s="43"/>
      <c r="AII31" s="43"/>
      <c r="AIJ31" s="43"/>
      <c r="AIK31" s="43"/>
      <c r="AIL31" s="43"/>
      <c r="AIM31" s="43"/>
      <c r="AIN31" s="43"/>
      <c r="AIO31" s="43"/>
      <c r="AIP31" s="43"/>
      <c r="AIQ31" s="43"/>
      <c r="AIR31" s="43"/>
      <c r="AIS31" s="43"/>
      <c r="AIT31" s="43"/>
      <c r="AIU31" s="43"/>
      <c r="AIV31" s="43"/>
      <c r="AIW31" s="43"/>
      <c r="AIX31" s="43"/>
      <c r="AIY31" s="43"/>
      <c r="AIZ31" s="43"/>
      <c r="AJA31" s="43"/>
      <c r="AJB31" s="43"/>
      <c r="AJC31" s="43"/>
      <c r="AJD31" s="43"/>
      <c r="AJE31" s="43"/>
      <c r="AJF31" s="43"/>
      <c r="AJG31" s="43"/>
      <c r="AJH31" s="43"/>
      <c r="AJI31" s="43"/>
      <c r="AJJ31" s="43"/>
      <c r="AJK31" s="43"/>
      <c r="AJL31" s="43"/>
      <c r="AJM31" s="43"/>
      <c r="AJN31" s="43"/>
      <c r="AJO31" s="43"/>
      <c r="AJP31" s="43"/>
      <c r="AJQ31" s="43"/>
      <c r="AJR31" s="43"/>
      <c r="AJS31" s="43"/>
      <c r="AJT31" s="43"/>
      <c r="AJU31" s="43"/>
      <c r="AJV31" s="43"/>
      <c r="AJW31" s="43"/>
      <c r="AJX31" s="43"/>
      <c r="AJY31" s="43"/>
      <c r="AJZ31" s="43"/>
      <c r="AKA31" s="43"/>
      <c r="AKB31" s="43"/>
      <c r="AKC31" s="43"/>
      <c r="AKD31" s="43"/>
      <c r="AKE31" s="43"/>
      <c r="AKF31" s="43"/>
      <c r="AKG31" s="43"/>
      <c r="AKH31" s="43"/>
      <c r="AKI31" s="43"/>
      <c r="AKJ31" s="43"/>
      <c r="AKK31" s="43"/>
      <c r="AKL31" s="43"/>
      <c r="AKM31" s="43"/>
      <c r="AKN31" s="43"/>
      <c r="AKO31" s="43"/>
      <c r="AKP31" s="43"/>
      <c r="AKQ31" s="43"/>
      <c r="AKR31" s="43"/>
      <c r="AKS31" s="43"/>
      <c r="AKT31" s="43"/>
      <c r="AKU31" s="43"/>
      <c r="AKV31" s="43"/>
      <c r="AKW31" s="43"/>
      <c r="AKX31" s="43"/>
      <c r="AKY31" s="43"/>
      <c r="AKZ31" s="43"/>
      <c r="ALA31" s="43"/>
      <c r="ALB31" s="43"/>
      <c r="ALC31" s="43"/>
      <c r="ALD31" s="43"/>
      <c r="ALE31" s="43"/>
      <c r="ALF31" s="43"/>
      <c r="ALG31" s="43"/>
      <c r="ALH31" s="43"/>
      <c r="ALI31" s="43"/>
      <c r="ALJ31" s="43"/>
      <c r="ALK31" s="43"/>
      <c r="ALL31" s="43"/>
      <c r="ALM31" s="43"/>
      <c r="ALN31" s="43"/>
      <c r="ALO31" s="43"/>
      <c r="ALP31" s="43"/>
      <c r="ALQ31" s="43"/>
      <c r="ALR31" s="43"/>
      <c r="ALS31" s="43"/>
      <c r="ALT31" s="43"/>
      <c r="ALU31" s="43"/>
      <c r="ALV31" s="43"/>
      <c r="ALW31" s="43"/>
      <c r="ALX31" s="43"/>
      <c r="ALY31" s="43"/>
      <c r="ALZ31" s="43"/>
      <c r="AMA31" s="43"/>
      <c r="AMB31" s="43"/>
      <c r="AMC31" s="43"/>
      <c r="AMD31" s="43"/>
      <c r="AME31" s="43"/>
      <c r="AMF31" s="43"/>
      <c r="AMG31" s="43"/>
      <c r="AMH31" s="43"/>
      <c r="AMI31" s="43"/>
    </row>
    <row r="32" spans="1:1024" s="35" customFormat="1" x14ac:dyDescent="0.25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  <c r="IW32" s="43"/>
      <c r="IX32" s="43"/>
      <c r="IY32" s="43"/>
      <c r="IZ32" s="43"/>
      <c r="JA32" s="43"/>
      <c r="JB32" s="43"/>
      <c r="JC32" s="43"/>
      <c r="JD32" s="43"/>
      <c r="JE32" s="43"/>
      <c r="JF32" s="43"/>
      <c r="JG32" s="43"/>
      <c r="JH32" s="43"/>
      <c r="JI32" s="43"/>
      <c r="JJ32" s="43"/>
      <c r="JK32" s="43"/>
      <c r="JL32" s="43"/>
      <c r="JM32" s="43"/>
      <c r="JN32" s="43"/>
      <c r="JO32" s="43"/>
      <c r="JP32" s="43"/>
      <c r="JQ32" s="43"/>
      <c r="JR32" s="43"/>
      <c r="JS32" s="43"/>
      <c r="JT32" s="43"/>
      <c r="JU32" s="43"/>
      <c r="JV32" s="43"/>
      <c r="JW32" s="43"/>
      <c r="JX32" s="43"/>
      <c r="JY32" s="43"/>
      <c r="JZ32" s="43"/>
      <c r="KA32" s="43"/>
      <c r="KB32" s="43"/>
      <c r="KC32" s="43"/>
      <c r="KD32" s="43"/>
      <c r="KE32" s="43"/>
      <c r="KF32" s="43"/>
      <c r="KG32" s="43"/>
      <c r="KH32" s="43"/>
      <c r="KI32" s="43"/>
      <c r="KJ32" s="43"/>
      <c r="KK32" s="43"/>
      <c r="KL32" s="43"/>
      <c r="KM32" s="43"/>
      <c r="KN32" s="43"/>
      <c r="KO32" s="43"/>
      <c r="KP32" s="43"/>
      <c r="KQ32" s="43"/>
      <c r="KR32" s="43"/>
      <c r="KS32" s="43"/>
      <c r="KT32" s="43"/>
      <c r="KU32" s="43"/>
      <c r="KV32" s="43"/>
      <c r="KW32" s="43"/>
      <c r="KX32" s="43"/>
      <c r="KY32" s="43"/>
      <c r="KZ32" s="43"/>
      <c r="LA32" s="43"/>
      <c r="LB32" s="43"/>
      <c r="LC32" s="43"/>
      <c r="LD32" s="43"/>
      <c r="LE32" s="43"/>
      <c r="LF32" s="43"/>
      <c r="LG32" s="43"/>
      <c r="LH32" s="43"/>
      <c r="LI32" s="43"/>
      <c r="LJ32" s="43"/>
      <c r="LK32" s="43"/>
      <c r="LL32" s="43"/>
      <c r="LM32" s="43"/>
      <c r="LN32" s="43"/>
      <c r="LO32" s="43"/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3"/>
      <c r="MA32" s="43"/>
      <c r="MB32" s="43"/>
      <c r="MC32" s="43"/>
      <c r="MD32" s="43"/>
      <c r="ME32" s="43"/>
      <c r="MF32" s="43"/>
      <c r="MG32" s="43"/>
      <c r="MH32" s="43"/>
      <c r="MI32" s="43"/>
      <c r="MJ32" s="43"/>
      <c r="MK32" s="43"/>
      <c r="ML32" s="43"/>
      <c r="MM32" s="43"/>
      <c r="MN32" s="43"/>
      <c r="MO32" s="43"/>
      <c r="MP32" s="43"/>
      <c r="MQ32" s="43"/>
      <c r="MR32" s="43"/>
      <c r="MS32" s="43"/>
      <c r="MT32" s="43"/>
      <c r="MU32" s="43"/>
      <c r="MV32" s="43"/>
      <c r="MW32" s="43"/>
      <c r="MX32" s="43"/>
      <c r="MY32" s="43"/>
      <c r="MZ32" s="43"/>
      <c r="NA32" s="43"/>
      <c r="NB32" s="43"/>
      <c r="NC32" s="43"/>
      <c r="ND32" s="43"/>
      <c r="NE32" s="43"/>
      <c r="NF32" s="43"/>
      <c r="NG32" s="43"/>
      <c r="NH32" s="43"/>
      <c r="NI32" s="43"/>
      <c r="NJ32" s="43"/>
      <c r="NK32" s="43"/>
      <c r="NL32" s="43"/>
      <c r="NM32" s="43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43"/>
      <c r="RJ32" s="43"/>
      <c r="RK32" s="43"/>
      <c r="RL32" s="43"/>
      <c r="RM32" s="43"/>
      <c r="RN32" s="43"/>
      <c r="RO32" s="43"/>
      <c r="RP32" s="43"/>
      <c r="RQ32" s="43"/>
      <c r="RR32" s="43"/>
      <c r="RS32" s="43"/>
      <c r="RT32" s="43"/>
      <c r="RU32" s="43"/>
      <c r="RV32" s="43"/>
      <c r="RW32" s="43"/>
      <c r="RX32" s="43"/>
      <c r="RY32" s="43"/>
      <c r="RZ32" s="43"/>
      <c r="SA32" s="43"/>
      <c r="SB32" s="43"/>
      <c r="SC32" s="43"/>
      <c r="SD32" s="43"/>
      <c r="SE32" s="43"/>
      <c r="SF32" s="43"/>
      <c r="SG32" s="43"/>
      <c r="SH32" s="43"/>
      <c r="SI32" s="43"/>
      <c r="SJ32" s="43"/>
      <c r="SK32" s="43"/>
      <c r="SL32" s="43"/>
      <c r="SM32" s="43"/>
      <c r="SN32" s="43"/>
      <c r="SO32" s="43"/>
      <c r="SP32" s="43"/>
      <c r="SQ32" s="43"/>
      <c r="SR32" s="43"/>
      <c r="SS32" s="43"/>
      <c r="ST32" s="43"/>
      <c r="SU32" s="43"/>
      <c r="SV32" s="43"/>
      <c r="SW32" s="43"/>
      <c r="SX32" s="43"/>
      <c r="SY32" s="43"/>
      <c r="SZ32" s="43"/>
      <c r="TA32" s="43"/>
      <c r="TB32" s="43"/>
      <c r="TC32" s="43"/>
      <c r="TD32" s="43"/>
      <c r="TE32" s="43"/>
      <c r="TF32" s="43"/>
      <c r="TG32" s="43"/>
      <c r="TH32" s="43"/>
      <c r="TI32" s="43"/>
      <c r="TJ32" s="43"/>
      <c r="TK32" s="43"/>
      <c r="TL32" s="43"/>
      <c r="TM32" s="43"/>
      <c r="TN32" s="43"/>
      <c r="TO32" s="43"/>
      <c r="TP32" s="43"/>
      <c r="TQ32" s="43"/>
      <c r="TR32" s="43"/>
      <c r="TS32" s="43"/>
      <c r="TT32" s="43"/>
      <c r="TU32" s="43"/>
      <c r="TV32" s="43"/>
      <c r="TW32" s="43"/>
      <c r="TX32" s="43"/>
      <c r="TY32" s="43"/>
      <c r="TZ32" s="43"/>
      <c r="UA32" s="43"/>
      <c r="UB32" s="43"/>
      <c r="UC32" s="43"/>
      <c r="UD32" s="43"/>
      <c r="UE32" s="43"/>
      <c r="UF32" s="43"/>
      <c r="UG32" s="43"/>
      <c r="UH32" s="43"/>
      <c r="UI32" s="43"/>
      <c r="UJ32" s="43"/>
      <c r="UK32" s="43"/>
      <c r="UL32" s="43"/>
      <c r="UM32" s="43"/>
      <c r="UN32" s="43"/>
      <c r="UO32" s="43"/>
      <c r="UP32" s="43"/>
      <c r="UQ32" s="43"/>
      <c r="UR32" s="43"/>
      <c r="US32" s="43"/>
      <c r="UT32" s="43"/>
      <c r="UU32" s="43"/>
      <c r="UV32" s="43"/>
      <c r="UW32" s="43"/>
      <c r="UX32" s="43"/>
      <c r="UY32" s="43"/>
      <c r="UZ32" s="43"/>
      <c r="VA32" s="43"/>
      <c r="VB32" s="43"/>
      <c r="VC32" s="43"/>
      <c r="VD32" s="43"/>
      <c r="VE32" s="43"/>
      <c r="VF32" s="43"/>
      <c r="VG32" s="43"/>
      <c r="VH32" s="43"/>
      <c r="VI32" s="43"/>
      <c r="VJ32" s="43"/>
      <c r="VK32" s="43"/>
      <c r="VL32" s="43"/>
      <c r="VM32" s="43"/>
      <c r="VN32" s="43"/>
      <c r="VO32" s="43"/>
      <c r="VP32" s="43"/>
      <c r="VQ32" s="43"/>
      <c r="VR32" s="43"/>
      <c r="VS32" s="43"/>
      <c r="VT32" s="43"/>
      <c r="VU32" s="43"/>
      <c r="VV32" s="43"/>
      <c r="VW32" s="43"/>
      <c r="VX32" s="43"/>
      <c r="VY32" s="43"/>
      <c r="VZ32" s="43"/>
      <c r="WA32" s="43"/>
      <c r="WB32" s="43"/>
      <c r="WC32" s="43"/>
      <c r="WD32" s="43"/>
      <c r="WE32" s="43"/>
      <c r="WF32" s="43"/>
      <c r="WG32" s="43"/>
      <c r="WH32" s="43"/>
      <c r="WI32" s="43"/>
      <c r="WJ32" s="43"/>
      <c r="WK32" s="43"/>
      <c r="WL32" s="43"/>
      <c r="WM32" s="43"/>
      <c r="WN32" s="43"/>
      <c r="WO32" s="43"/>
      <c r="WP32" s="43"/>
      <c r="WQ32" s="43"/>
      <c r="WR32" s="43"/>
      <c r="WS32" s="43"/>
      <c r="WT32" s="43"/>
      <c r="WU32" s="43"/>
      <c r="WV32" s="43"/>
      <c r="WW32" s="43"/>
      <c r="WX32" s="43"/>
      <c r="WY32" s="43"/>
      <c r="WZ32" s="43"/>
      <c r="XA32" s="43"/>
      <c r="XB32" s="43"/>
      <c r="XC32" s="43"/>
      <c r="XD32" s="43"/>
      <c r="XE32" s="43"/>
      <c r="XF32" s="43"/>
      <c r="XG32" s="43"/>
      <c r="XH32" s="43"/>
      <c r="XI32" s="43"/>
      <c r="XJ32" s="43"/>
      <c r="XK32" s="43"/>
      <c r="XL32" s="43"/>
      <c r="XM32" s="43"/>
      <c r="XN32" s="43"/>
      <c r="XO32" s="43"/>
      <c r="XP32" s="43"/>
      <c r="XQ32" s="43"/>
      <c r="XR32" s="43"/>
      <c r="XS32" s="43"/>
      <c r="XT32" s="43"/>
      <c r="XU32" s="43"/>
      <c r="XV32" s="43"/>
      <c r="XW32" s="43"/>
      <c r="XX32" s="43"/>
      <c r="XY32" s="43"/>
      <c r="XZ32" s="43"/>
      <c r="YA32" s="43"/>
      <c r="YB32" s="43"/>
      <c r="YC32" s="43"/>
      <c r="YD32" s="43"/>
      <c r="YE32" s="43"/>
      <c r="YF32" s="43"/>
      <c r="YG32" s="43"/>
      <c r="YH32" s="43"/>
      <c r="YI32" s="43"/>
      <c r="YJ32" s="43"/>
      <c r="YK32" s="43"/>
      <c r="YL32" s="43"/>
      <c r="YM32" s="43"/>
      <c r="YN32" s="43"/>
      <c r="YO32" s="43"/>
      <c r="YP32" s="43"/>
      <c r="YQ32" s="43"/>
      <c r="YR32" s="43"/>
      <c r="YS32" s="43"/>
      <c r="YT32" s="43"/>
      <c r="YU32" s="43"/>
      <c r="YV32" s="43"/>
      <c r="YW32" s="43"/>
      <c r="YX32" s="43"/>
      <c r="YY32" s="43"/>
      <c r="YZ32" s="43"/>
      <c r="ZA32" s="43"/>
      <c r="ZB32" s="43"/>
      <c r="ZC32" s="43"/>
      <c r="ZD32" s="43"/>
      <c r="ZE32" s="43"/>
      <c r="ZF32" s="43"/>
      <c r="ZG32" s="43"/>
      <c r="ZH32" s="43"/>
      <c r="ZI32" s="43"/>
      <c r="ZJ32" s="43"/>
      <c r="ZK32" s="43"/>
      <c r="ZL32" s="43"/>
      <c r="ZM32" s="43"/>
      <c r="ZN32" s="43"/>
      <c r="ZO32" s="43"/>
      <c r="ZP32" s="43"/>
      <c r="ZQ32" s="43"/>
      <c r="ZR32" s="43"/>
      <c r="ZS32" s="43"/>
      <c r="ZT32" s="43"/>
      <c r="ZU32" s="43"/>
      <c r="ZV32" s="43"/>
      <c r="ZW32" s="43"/>
      <c r="ZX32" s="43"/>
      <c r="ZY32" s="43"/>
      <c r="ZZ32" s="43"/>
      <c r="AAA32" s="43"/>
      <c r="AAB32" s="43"/>
      <c r="AAC32" s="43"/>
      <c r="AAD32" s="43"/>
      <c r="AAE32" s="43"/>
      <c r="AAF32" s="43"/>
      <c r="AAG32" s="43"/>
      <c r="AAH32" s="43"/>
      <c r="AAI32" s="43"/>
      <c r="AAJ32" s="43"/>
      <c r="AAK32" s="43"/>
      <c r="AAL32" s="43"/>
      <c r="AAM32" s="43"/>
      <c r="AAN32" s="43"/>
      <c r="AAO32" s="43"/>
      <c r="AAP32" s="43"/>
      <c r="AAQ32" s="43"/>
      <c r="AAR32" s="43"/>
      <c r="AAS32" s="43"/>
      <c r="AAT32" s="43"/>
      <c r="AAU32" s="43"/>
      <c r="AAV32" s="43"/>
      <c r="AAW32" s="43"/>
      <c r="AAX32" s="43"/>
      <c r="AAY32" s="43"/>
      <c r="AAZ32" s="43"/>
      <c r="ABA32" s="43"/>
      <c r="ABB32" s="43"/>
      <c r="ABC32" s="43"/>
      <c r="ABD32" s="43"/>
      <c r="ABE32" s="43"/>
      <c r="ABF32" s="43"/>
      <c r="ABG32" s="43"/>
      <c r="ABH32" s="43"/>
      <c r="ABI32" s="43"/>
      <c r="ABJ32" s="43"/>
      <c r="ABK32" s="43"/>
      <c r="ABL32" s="43"/>
      <c r="ABM32" s="43"/>
      <c r="ABN32" s="43"/>
      <c r="ABO32" s="43"/>
      <c r="ABP32" s="43"/>
      <c r="ABQ32" s="43"/>
      <c r="ABR32" s="43"/>
      <c r="ABS32" s="43"/>
      <c r="ABT32" s="43"/>
      <c r="ABU32" s="43"/>
      <c r="ABV32" s="43"/>
      <c r="ABW32" s="43"/>
      <c r="ABX32" s="43"/>
      <c r="ABY32" s="43"/>
      <c r="ABZ32" s="43"/>
      <c r="ACA32" s="43"/>
      <c r="ACB32" s="43"/>
      <c r="ACC32" s="43"/>
      <c r="ACD32" s="43"/>
      <c r="ACE32" s="43"/>
      <c r="ACF32" s="43"/>
      <c r="ACG32" s="43"/>
      <c r="ACH32" s="43"/>
      <c r="ACI32" s="43"/>
      <c r="ACJ32" s="43"/>
      <c r="ACK32" s="43"/>
      <c r="ACL32" s="43"/>
      <c r="ACM32" s="43"/>
      <c r="ACN32" s="43"/>
      <c r="ACO32" s="43"/>
      <c r="ACP32" s="43"/>
      <c r="ACQ32" s="43"/>
      <c r="ACR32" s="43"/>
      <c r="ACS32" s="43"/>
      <c r="ACT32" s="43"/>
      <c r="ACU32" s="43"/>
      <c r="ACV32" s="43"/>
      <c r="ACW32" s="43"/>
      <c r="ACX32" s="43"/>
      <c r="ACY32" s="43"/>
      <c r="ACZ32" s="43"/>
      <c r="ADA32" s="43"/>
      <c r="ADB32" s="43"/>
      <c r="ADC32" s="43"/>
      <c r="ADD32" s="43"/>
      <c r="ADE32" s="43"/>
      <c r="ADF32" s="43"/>
      <c r="ADG32" s="43"/>
      <c r="ADH32" s="43"/>
      <c r="ADI32" s="43"/>
      <c r="ADJ32" s="43"/>
      <c r="ADK32" s="43"/>
      <c r="ADL32" s="43"/>
      <c r="ADM32" s="43"/>
      <c r="ADN32" s="43"/>
      <c r="ADO32" s="43"/>
      <c r="ADP32" s="43"/>
      <c r="ADQ32" s="43"/>
      <c r="ADR32" s="43"/>
      <c r="ADS32" s="43"/>
      <c r="ADT32" s="43"/>
      <c r="ADU32" s="43"/>
      <c r="ADV32" s="43"/>
      <c r="ADW32" s="43"/>
      <c r="ADX32" s="43"/>
      <c r="ADY32" s="43"/>
      <c r="ADZ32" s="43"/>
      <c r="AEA32" s="43"/>
      <c r="AEB32" s="43"/>
      <c r="AEC32" s="43"/>
      <c r="AED32" s="43"/>
      <c r="AEE32" s="43"/>
      <c r="AEF32" s="43"/>
      <c r="AEG32" s="43"/>
      <c r="AEH32" s="43"/>
      <c r="AEI32" s="43"/>
      <c r="AEJ32" s="43"/>
      <c r="AEK32" s="43"/>
      <c r="AEL32" s="43"/>
      <c r="AEM32" s="43"/>
      <c r="AEN32" s="43"/>
      <c r="AEO32" s="43"/>
      <c r="AEP32" s="43"/>
      <c r="AEQ32" s="43"/>
      <c r="AER32" s="43"/>
      <c r="AES32" s="43"/>
      <c r="AET32" s="43"/>
      <c r="AEU32" s="43"/>
      <c r="AEV32" s="43"/>
      <c r="AEW32" s="43"/>
      <c r="AEX32" s="43"/>
      <c r="AEY32" s="43"/>
      <c r="AEZ32" s="43"/>
      <c r="AFA32" s="43"/>
      <c r="AFB32" s="43"/>
      <c r="AFC32" s="43"/>
      <c r="AFD32" s="43"/>
      <c r="AFE32" s="43"/>
      <c r="AFF32" s="43"/>
      <c r="AFG32" s="43"/>
      <c r="AFH32" s="43"/>
      <c r="AFI32" s="43"/>
      <c r="AFJ32" s="43"/>
      <c r="AFK32" s="43"/>
      <c r="AFL32" s="43"/>
      <c r="AFM32" s="43"/>
      <c r="AFN32" s="43"/>
      <c r="AFO32" s="43"/>
      <c r="AFP32" s="43"/>
      <c r="AFQ32" s="43"/>
      <c r="AFR32" s="43"/>
      <c r="AFS32" s="43"/>
      <c r="AFT32" s="43"/>
      <c r="AFU32" s="43"/>
      <c r="AFV32" s="43"/>
      <c r="AFW32" s="43"/>
      <c r="AFX32" s="43"/>
      <c r="AFY32" s="43"/>
      <c r="AFZ32" s="43"/>
      <c r="AGA32" s="43"/>
      <c r="AGB32" s="43"/>
      <c r="AGC32" s="43"/>
      <c r="AGD32" s="43"/>
      <c r="AGE32" s="43"/>
      <c r="AGF32" s="43"/>
      <c r="AGG32" s="43"/>
      <c r="AGH32" s="43"/>
      <c r="AGI32" s="43"/>
      <c r="AGJ32" s="43"/>
      <c r="AGK32" s="43"/>
      <c r="AGL32" s="43"/>
      <c r="AGM32" s="43"/>
      <c r="AGN32" s="43"/>
      <c r="AGO32" s="43"/>
      <c r="AGP32" s="43"/>
      <c r="AGQ32" s="43"/>
      <c r="AGR32" s="43"/>
      <c r="AGS32" s="43"/>
      <c r="AGT32" s="43"/>
      <c r="AGU32" s="43"/>
      <c r="AGV32" s="43"/>
      <c r="AGW32" s="43"/>
      <c r="AGX32" s="43"/>
      <c r="AGY32" s="43"/>
      <c r="AGZ32" s="43"/>
      <c r="AHA32" s="43"/>
      <c r="AHB32" s="43"/>
      <c r="AHC32" s="43"/>
      <c r="AHD32" s="43"/>
      <c r="AHE32" s="43"/>
      <c r="AHF32" s="43"/>
      <c r="AHG32" s="43"/>
      <c r="AHH32" s="43"/>
      <c r="AHI32" s="43"/>
      <c r="AHJ32" s="43"/>
      <c r="AHK32" s="43"/>
      <c r="AHL32" s="43"/>
      <c r="AHM32" s="43"/>
      <c r="AHN32" s="43"/>
      <c r="AHO32" s="43"/>
      <c r="AHP32" s="43"/>
      <c r="AHQ32" s="43"/>
      <c r="AHR32" s="43"/>
      <c r="AHS32" s="43"/>
      <c r="AHT32" s="43"/>
      <c r="AHU32" s="43"/>
      <c r="AHV32" s="43"/>
      <c r="AHW32" s="43"/>
      <c r="AHX32" s="43"/>
      <c r="AHY32" s="43"/>
      <c r="AHZ32" s="43"/>
      <c r="AIA32" s="43"/>
      <c r="AIB32" s="43"/>
      <c r="AIC32" s="43"/>
      <c r="AID32" s="43"/>
      <c r="AIE32" s="43"/>
      <c r="AIF32" s="43"/>
      <c r="AIG32" s="43"/>
      <c r="AIH32" s="43"/>
      <c r="AII32" s="43"/>
      <c r="AIJ32" s="43"/>
      <c r="AIK32" s="43"/>
      <c r="AIL32" s="43"/>
      <c r="AIM32" s="43"/>
      <c r="AIN32" s="43"/>
      <c r="AIO32" s="43"/>
      <c r="AIP32" s="43"/>
      <c r="AIQ32" s="43"/>
      <c r="AIR32" s="43"/>
      <c r="AIS32" s="43"/>
      <c r="AIT32" s="43"/>
      <c r="AIU32" s="43"/>
      <c r="AIV32" s="43"/>
      <c r="AIW32" s="43"/>
      <c r="AIX32" s="43"/>
      <c r="AIY32" s="43"/>
      <c r="AIZ32" s="43"/>
      <c r="AJA32" s="43"/>
      <c r="AJB32" s="43"/>
      <c r="AJC32" s="43"/>
      <c r="AJD32" s="43"/>
      <c r="AJE32" s="43"/>
      <c r="AJF32" s="43"/>
      <c r="AJG32" s="43"/>
      <c r="AJH32" s="43"/>
      <c r="AJI32" s="43"/>
      <c r="AJJ32" s="43"/>
      <c r="AJK32" s="43"/>
      <c r="AJL32" s="43"/>
      <c r="AJM32" s="43"/>
      <c r="AJN32" s="43"/>
      <c r="AJO32" s="43"/>
      <c r="AJP32" s="43"/>
      <c r="AJQ32" s="43"/>
      <c r="AJR32" s="43"/>
      <c r="AJS32" s="43"/>
      <c r="AJT32" s="43"/>
      <c r="AJU32" s="43"/>
      <c r="AJV32" s="43"/>
      <c r="AJW32" s="43"/>
      <c r="AJX32" s="43"/>
      <c r="AJY32" s="43"/>
      <c r="AJZ32" s="43"/>
      <c r="AKA32" s="43"/>
      <c r="AKB32" s="43"/>
      <c r="AKC32" s="43"/>
      <c r="AKD32" s="43"/>
      <c r="AKE32" s="43"/>
      <c r="AKF32" s="43"/>
      <c r="AKG32" s="43"/>
      <c r="AKH32" s="43"/>
      <c r="AKI32" s="43"/>
      <c r="AKJ32" s="43"/>
      <c r="AKK32" s="43"/>
      <c r="AKL32" s="43"/>
      <c r="AKM32" s="43"/>
      <c r="AKN32" s="43"/>
      <c r="AKO32" s="43"/>
      <c r="AKP32" s="43"/>
      <c r="AKQ32" s="43"/>
      <c r="AKR32" s="43"/>
      <c r="AKS32" s="43"/>
      <c r="AKT32" s="43"/>
      <c r="AKU32" s="43"/>
      <c r="AKV32" s="43"/>
      <c r="AKW32" s="43"/>
      <c r="AKX32" s="43"/>
      <c r="AKY32" s="43"/>
      <c r="AKZ32" s="43"/>
      <c r="ALA32" s="43"/>
      <c r="ALB32" s="43"/>
      <c r="ALC32" s="43"/>
      <c r="ALD32" s="43"/>
      <c r="ALE32" s="43"/>
      <c r="ALF32" s="43"/>
      <c r="ALG32" s="43"/>
      <c r="ALH32" s="43"/>
      <c r="ALI32" s="43"/>
      <c r="ALJ32" s="43"/>
      <c r="ALK32" s="43"/>
      <c r="ALL32" s="43"/>
      <c r="ALM32" s="43"/>
      <c r="ALN32" s="43"/>
      <c r="ALO32" s="43"/>
      <c r="ALP32" s="43"/>
      <c r="ALQ32" s="43"/>
      <c r="ALR32" s="43"/>
      <c r="ALS32" s="43"/>
      <c r="ALT32" s="43"/>
      <c r="ALU32" s="43"/>
      <c r="ALV32" s="43"/>
      <c r="ALW32" s="43"/>
      <c r="ALX32" s="43"/>
      <c r="ALY32" s="43"/>
      <c r="ALZ32" s="43"/>
      <c r="AMA32" s="43"/>
      <c r="AMB32" s="43"/>
      <c r="AMC32" s="43"/>
      <c r="AMD32" s="43"/>
      <c r="AME32" s="43"/>
      <c r="AMF32" s="43"/>
      <c r="AMG32" s="43"/>
      <c r="AMH32" s="43"/>
      <c r="AMI32" s="43"/>
    </row>
    <row r="33" spans="1:1024" s="35" customFormat="1" x14ac:dyDescent="0.25">
      <c r="A33" s="146" t="s">
        <v>143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  <c r="IW33" s="43"/>
      <c r="IX33" s="43"/>
      <c r="IY33" s="43"/>
      <c r="IZ33" s="43"/>
      <c r="JA33" s="43"/>
      <c r="JB33" s="43"/>
      <c r="JC33" s="43"/>
      <c r="JD33" s="43"/>
      <c r="JE33" s="43"/>
      <c r="JF33" s="43"/>
      <c r="JG33" s="43"/>
      <c r="JH33" s="43"/>
      <c r="JI33" s="43"/>
      <c r="JJ33" s="43"/>
      <c r="JK33" s="43"/>
      <c r="JL33" s="43"/>
      <c r="JM33" s="43"/>
      <c r="JN33" s="43"/>
      <c r="JO33" s="43"/>
      <c r="JP33" s="43"/>
      <c r="JQ33" s="43"/>
      <c r="JR33" s="43"/>
      <c r="JS33" s="43"/>
      <c r="JT33" s="43"/>
      <c r="JU33" s="43"/>
      <c r="JV33" s="43"/>
      <c r="JW33" s="43"/>
      <c r="JX33" s="43"/>
      <c r="JY33" s="43"/>
      <c r="JZ33" s="43"/>
      <c r="KA33" s="43"/>
      <c r="KB33" s="43"/>
      <c r="KC33" s="43"/>
      <c r="KD33" s="43"/>
      <c r="KE33" s="43"/>
      <c r="KF33" s="43"/>
      <c r="KG33" s="43"/>
      <c r="KH33" s="43"/>
      <c r="KI33" s="43"/>
      <c r="KJ33" s="43"/>
      <c r="KK33" s="43"/>
      <c r="KL33" s="43"/>
      <c r="KM33" s="43"/>
      <c r="KN33" s="43"/>
      <c r="KO33" s="43"/>
      <c r="KP33" s="43"/>
      <c r="KQ33" s="43"/>
      <c r="KR33" s="43"/>
      <c r="KS33" s="43"/>
      <c r="KT33" s="43"/>
      <c r="KU33" s="43"/>
      <c r="KV33" s="43"/>
      <c r="KW33" s="43"/>
      <c r="KX33" s="43"/>
      <c r="KY33" s="43"/>
      <c r="KZ33" s="43"/>
      <c r="LA33" s="43"/>
      <c r="LB33" s="43"/>
      <c r="LC33" s="43"/>
      <c r="LD33" s="43"/>
      <c r="LE33" s="43"/>
      <c r="LF33" s="43"/>
      <c r="LG33" s="43"/>
      <c r="LH33" s="43"/>
      <c r="LI33" s="43"/>
      <c r="LJ33" s="43"/>
      <c r="LK33" s="43"/>
      <c r="LL33" s="43"/>
      <c r="LM33" s="43"/>
      <c r="LN33" s="43"/>
      <c r="LO33" s="43"/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3"/>
      <c r="MA33" s="43"/>
      <c r="MB33" s="43"/>
      <c r="MC33" s="43"/>
      <c r="MD33" s="43"/>
      <c r="ME33" s="43"/>
      <c r="MF33" s="43"/>
      <c r="MG33" s="43"/>
      <c r="MH33" s="43"/>
      <c r="MI33" s="43"/>
      <c r="MJ33" s="43"/>
      <c r="MK33" s="43"/>
      <c r="ML33" s="43"/>
      <c r="MM33" s="43"/>
      <c r="MN33" s="43"/>
      <c r="MO33" s="43"/>
      <c r="MP33" s="43"/>
      <c r="MQ33" s="43"/>
      <c r="MR33" s="43"/>
      <c r="MS33" s="43"/>
      <c r="MT33" s="43"/>
      <c r="MU33" s="43"/>
      <c r="MV33" s="43"/>
      <c r="MW33" s="43"/>
      <c r="MX33" s="43"/>
      <c r="MY33" s="43"/>
      <c r="MZ33" s="43"/>
      <c r="NA33" s="43"/>
      <c r="NB33" s="43"/>
      <c r="NC33" s="43"/>
      <c r="ND33" s="43"/>
      <c r="NE33" s="43"/>
      <c r="NF33" s="43"/>
      <c r="NG33" s="43"/>
      <c r="NH33" s="43"/>
      <c r="NI33" s="43"/>
      <c r="NJ33" s="43"/>
      <c r="NK33" s="43"/>
      <c r="NL33" s="43"/>
      <c r="NM33" s="43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43"/>
      <c r="RJ33" s="43"/>
      <c r="RK33" s="43"/>
      <c r="RL33" s="43"/>
      <c r="RM33" s="43"/>
      <c r="RN33" s="43"/>
      <c r="RO33" s="43"/>
      <c r="RP33" s="43"/>
      <c r="RQ33" s="43"/>
      <c r="RR33" s="43"/>
      <c r="RS33" s="43"/>
      <c r="RT33" s="43"/>
      <c r="RU33" s="43"/>
      <c r="RV33" s="43"/>
      <c r="RW33" s="43"/>
      <c r="RX33" s="43"/>
      <c r="RY33" s="43"/>
      <c r="RZ33" s="43"/>
      <c r="SA33" s="43"/>
      <c r="SB33" s="43"/>
      <c r="SC33" s="43"/>
      <c r="SD33" s="43"/>
      <c r="SE33" s="43"/>
      <c r="SF33" s="43"/>
      <c r="SG33" s="43"/>
      <c r="SH33" s="43"/>
      <c r="SI33" s="43"/>
      <c r="SJ33" s="43"/>
      <c r="SK33" s="43"/>
      <c r="SL33" s="43"/>
      <c r="SM33" s="43"/>
      <c r="SN33" s="43"/>
      <c r="SO33" s="43"/>
      <c r="SP33" s="43"/>
      <c r="SQ33" s="43"/>
      <c r="SR33" s="43"/>
      <c r="SS33" s="43"/>
      <c r="ST33" s="43"/>
      <c r="SU33" s="43"/>
      <c r="SV33" s="43"/>
      <c r="SW33" s="43"/>
      <c r="SX33" s="43"/>
      <c r="SY33" s="43"/>
      <c r="SZ33" s="43"/>
      <c r="TA33" s="43"/>
      <c r="TB33" s="43"/>
      <c r="TC33" s="43"/>
      <c r="TD33" s="43"/>
      <c r="TE33" s="43"/>
      <c r="TF33" s="43"/>
      <c r="TG33" s="43"/>
      <c r="TH33" s="43"/>
      <c r="TI33" s="43"/>
      <c r="TJ33" s="43"/>
      <c r="TK33" s="43"/>
      <c r="TL33" s="43"/>
      <c r="TM33" s="43"/>
      <c r="TN33" s="43"/>
      <c r="TO33" s="43"/>
      <c r="TP33" s="43"/>
      <c r="TQ33" s="43"/>
      <c r="TR33" s="43"/>
      <c r="TS33" s="43"/>
      <c r="TT33" s="43"/>
      <c r="TU33" s="43"/>
      <c r="TV33" s="43"/>
      <c r="TW33" s="43"/>
      <c r="TX33" s="43"/>
      <c r="TY33" s="43"/>
      <c r="TZ33" s="43"/>
      <c r="UA33" s="43"/>
      <c r="UB33" s="43"/>
      <c r="UC33" s="43"/>
      <c r="UD33" s="43"/>
      <c r="UE33" s="43"/>
      <c r="UF33" s="43"/>
      <c r="UG33" s="43"/>
      <c r="UH33" s="43"/>
      <c r="UI33" s="43"/>
      <c r="UJ33" s="43"/>
      <c r="UK33" s="43"/>
      <c r="UL33" s="43"/>
      <c r="UM33" s="43"/>
      <c r="UN33" s="43"/>
      <c r="UO33" s="43"/>
      <c r="UP33" s="43"/>
      <c r="UQ33" s="43"/>
      <c r="UR33" s="43"/>
      <c r="US33" s="43"/>
      <c r="UT33" s="43"/>
      <c r="UU33" s="43"/>
      <c r="UV33" s="43"/>
      <c r="UW33" s="43"/>
      <c r="UX33" s="43"/>
      <c r="UY33" s="43"/>
      <c r="UZ33" s="43"/>
      <c r="VA33" s="43"/>
      <c r="VB33" s="43"/>
      <c r="VC33" s="43"/>
      <c r="VD33" s="43"/>
      <c r="VE33" s="43"/>
      <c r="VF33" s="43"/>
      <c r="VG33" s="43"/>
      <c r="VH33" s="43"/>
      <c r="VI33" s="43"/>
      <c r="VJ33" s="43"/>
      <c r="VK33" s="43"/>
      <c r="VL33" s="43"/>
      <c r="VM33" s="43"/>
      <c r="VN33" s="43"/>
      <c r="VO33" s="43"/>
      <c r="VP33" s="43"/>
      <c r="VQ33" s="43"/>
      <c r="VR33" s="43"/>
      <c r="VS33" s="43"/>
      <c r="VT33" s="43"/>
      <c r="VU33" s="43"/>
      <c r="VV33" s="43"/>
      <c r="VW33" s="43"/>
      <c r="VX33" s="43"/>
      <c r="VY33" s="43"/>
      <c r="VZ33" s="43"/>
      <c r="WA33" s="43"/>
      <c r="WB33" s="43"/>
      <c r="WC33" s="43"/>
      <c r="WD33" s="43"/>
      <c r="WE33" s="43"/>
      <c r="WF33" s="43"/>
      <c r="WG33" s="43"/>
      <c r="WH33" s="43"/>
      <c r="WI33" s="43"/>
      <c r="WJ33" s="43"/>
      <c r="WK33" s="43"/>
      <c r="WL33" s="43"/>
      <c r="WM33" s="43"/>
      <c r="WN33" s="43"/>
      <c r="WO33" s="43"/>
      <c r="WP33" s="43"/>
      <c r="WQ33" s="43"/>
      <c r="WR33" s="43"/>
      <c r="WS33" s="43"/>
      <c r="WT33" s="43"/>
      <c r="WU33" s="43"/>
      <c r="WV33" s="43"/>
      <c r="WW33" s="43"/>
      <c r="WX33" s="43"/>
      <c r="WY33" s="43"/>
      <c r="WZ33" s="43"/>
      <c r="XA33" s="43"/>
      <c r="XB33" s="43"/>
      <c r="XC33" s="43"/>
      <c r="XD33" s="43"/>
      <c r="XE33" s="43"/>
      <c r="XF33" s="43"/>
      <c r="XG33" s="43"/>
      <c r="XH33" s="43"/>
      <c r="XI33" s="43"/>
      <c r="XJ33" s="43"/>
      <c r="XK33" s="43"/>
      <c r="XL33" s="43"/>
      <c r="XM33" s="43"/>
      <c r="XN33" s="43"/>
      <c r="XO33" s="43"/>
      <c r="XP33" s="43"/>
      <c r="XQ33" s="43"/>
      <c r="XR33" s="43"/>
      <c r="XS33" s="43"/>
      <c r="XT33" s="43"/>
      <c r="XU33" s="43"/>
      <c r="XV33" s="43"/>
      <c r="XW33" s="43"/>
      <c r="XX33" s="43"/>
      <c r="XY33" s="43"/>
      <c r="XZ33" s="43"/>
      <c r="YA33" s="43"/>
      <c r="YB33" s="43"/>
      <c r="YC33" s="43"/>
      <c r="YD33" s="43"/>
      <c r="YE33" s="43"/>
      <c r="YF33" s="43"/>
      <c r="YG33" s="43"/>
      <c r="YH33" s="43"/>
      <c r="YI33" s="43"/>
      <c r="YJ33" s="43"/>
      <c r="YK33" s="43"/>
      <c r="YL33" s="43"/>
      <c r="YM33" s="43"/>
      <c r="YN33" s="43"/>
      <c r="YO33" s="43"/>
      <c r="YP33" s="43"/>
      <c r="YQ33" s="43"/>
      <c r="YR33" s="43"/>
      <c r="YS33" s="43"/>
      <c r="YT33" s="43"/>
      <c r="YU33" s="43"/>
      <c r="YV33" s="43"/>
      <c r="YW33" s="43"/>
      <c r="YX33" s="43"/>
      <c r="YY33" s="43"/>
      <c r="YZ33" s="43"/>
      <c r="ZA33" s="43"/>
      <c r="ZB33" s="43"/>
      <c r="ZC33" s="43"/>
      <c r="ZD33" s="43"/>
      <c r="ZE33" s="43"/>
      <c r="ZF33" s="43"/>
      <c r="ZG33" s="43"/>
      <c r="ZH33" s="43"/>
      <c r="ZI33" s="43"/>
      <c r="ZJ33" s="43"/>
      <c r="ZK33" s="43"/>
      <c r="ZL33" s="43"/>
      <c r="ZM33" s="43"/>
      <c r="ZN33" s="43"/>
      <c r="ZO33" s="43"/>
      <c r="ZP33" s="43"/>
      <c r="ZQ33" s="43"/>
      <c r="ZR33" s="43"/>
      <c r="ZS33" s="43"/>
      <c r="ZT33" s="43"/>
      <c r="ZU33" s="43"/>
      <c r="ZV33" s="43"/>
      <c r="ZW33" s="43"/>
      <c r="ZX33" s="43"/>
      <c r="ZY33" s="43"/>
      <c r="ZZ33" s="43"/>
      <c r="AAA33" s="43"/>
      <c r="AAB33" s="43"/>
      <c r="AAC33" s="43"/>
      <c r="AAD33" s="43"/>
      <c r="AAE33" s="43"/>
      <c r="AAF33" s="43"/>
      <c r="AAG33" s="43"/>
      <c r="AAH33" s="43"/>
      <c r="AAI33" s="43"/>
      <c r="AAJ33" s="43"/>
      <c r="AAK33" s="43"/>
      <c r="AAL33" s="43"/>
      <c r="AAM33" s="43"/>
      <c r="AAN33" s="43"/>
      <c r="AAO33" s="43"/>
      <c r="AAP33" s="43"/>
      <c r="AAQ33" s="43"/>
      <c r="AAR33" s="43"/>
      <c r="AAS33" s="43"/>
      <c r="AAT33" s="43"/>
      <c r="AAU33" s="43"/>
      <c r="AAV33" s="43"/>
      <c r="AAW33" s="43"/>
      <c r="AAX33" s="43"/>
      <c r="AAY33" s="43"/>
      <c r="AAZ33" s="43"/>
      <c r="ABA33" s="43"/>
      <c r="ABB33" s="43"/>
      <c r="ABC33" s="43"/>
      <c r="ABD33" s="43"/>
      <c r="ABE33" s="43"/>
      <c r="ABF33" s="43"/>
      <c r="ABG33" s="43"/>
      <c r="ABH33" s="43"/>
      <c r="ABI33" s="43"/>
      <c r="ABJ33" s="43"/>
      <c r="ABK33" s="43"/>
      <c r="ABL33" s="43"/>
      <c r="ABM33" s="43"/>
      <c r="ABN33" s="43"/>
      <c r="ABO33" s="43"/>
      <c r="ABP33" s="43"/>
      <c r="ABQ33" s="43"/>
      <c r="ABR33" s="43"/>
      <c r="ABS33" s="43"/>
      <c r="ABT33" s="43"/>
      <c r="ABU33" s="43"/>
      <c r="ABV33" s="43"/>
      <c r="ABW33" s="43"/>
      <c r="ABX33" s="43"/>
      <c r="ABY33" s="43"/>
      <c r="ABZ33" s="43"/>
      <c r="ACA33" s="43"/>
      <c r="ACB33" s="43"/>
      <c r="ACC33" s="43"/>
      <c r="ACD33" s="43"/>
      <c r="ACE33" s="43"/>
      <c r="ACF33" s="43"/>
      <c r="ACG33" s="43"/>
      <c r="ACH33" s="43"/>
      <c r="ACI33" s="43"/>
      <c r="ACJ33" s="43"/>
      <c r="ACK33" s="43"/>
      <c r="ACL33" s="43"/>
      <c r="ACM33" s="43"/>
      <c r="ACN33" s="43"/>
      <c r="ACO33" s="43"/>
      <c r="ACP33" s="43"/>
      <c r="ACQ33" s="43"/>
      <c r="ACR33" s="43"/>
      <c r="ACS33" s="43"/>
      <c r="ACT33" s="43"/>
      <c r="ACU33" s="43"/>
      <c r="ACV33" s="43"/>
      <c r="ACW33" s="43"/>
      <c r="ACX33" s="43"/>
      <c r="ACY33" s="43"/>
      <c r="ACZ33" s="43"/>
      <c r="ADA33" s="43"/>
      <c r="ADB33" s="43"/>
      <c r="ADC33" s="43"/>
      <c r="ADD33" s="43"/>
      <c r="ADE33" s="43"/>
      <c r="ADF33" s="43"/>
      <c r="ADG33" s="43"/>
      <c r="ADH33" s="43"/>
      <c r="ADI33" s="43"/>
      <c r="ADJ33" s="43"/>
      <c r="ADK33" s="43"/>
      <c r="ADL33" s="43"/>
      <c r="ADM33" s="43"/>
      <c r="ADN33" s="43"/>
      <c r="ADO33" s="43"/>
      <c r="ADP33" s="43"/>
      <c r="ADQ33" s="43"/>
      <c r="ADR33" s="43"/>
      <c r="ADS33" s="43"/>
      <c r="ADT33" s="43"/>
      <c r="ADU33" s="43"/>
      <c r="ADV33" s="43"/>
      <c r="ADW33" s="43"/>
      <c r="ADX33" s="43"/>
      <c r="ADY33" s="43"/>
      <c r="ADZ33" s="43"/>
      <c r="AEA33" s="43"/>
      <c r="AEB33" s="43"/>
      <c r="AEC33" s="43"/>
      <c r="AED33" s="43"/>
      <c r="AEE33" s="43"/>
      <c r="AEF33" s="43"/>
      <c r="AEG33" s="43"/>
      <c r="AEH33" s="43"/>
      <c r="AEI33" s="43"/>
      <c r="AEJ33" s="43"/>
      <c r="AEK33" s="43"/>
      <c r="AEL33" s="43"/>
      <c r="AEM33" s="43"/>
      <c r="AEN33" s="43"/>
      <c r="AEO33" s="43"/>
      <c r="AEP33" s="43"/>
      <c r="AEQ33" s="43"/>
      <c r="AER33" s="43"/>
      <c r="AES33" s="43"/>
      <c r="AET33" s="43"/>
      <c r="AEU33" s="43"/>
      <c r="AEV33" s="43"/>
      <c r="AEW33" s="43"/>
      <c r="AEX33" s="43"/>
      <c r="AEY33" s="43"/>
      <c r="AEZ33" s="43"/>
      <c r="AFA33" s="43"/>
      <c r="AFB33" s="43"/>
      <c r="AFC33" s="43"/>
      <c r="AFD33" s="43"/>
      <c r="AFE33" s="43"/>
      <c r="AFF33" s="43"/>
      <c r="AFG33" s="43"/>
      <c r="AFH33" s="43"/>
      <c r="AFI33" s="43"/>
      <c r="AFJ33" s="43"/>
      <c r="AFK33" s="43"/>
      <c r="AFL33" s="43"/>
      <c r="AFM33" s="43"/>
      <c r="AFN33" s="43"/>
      <c r="AFO33" s="43"/>
      <c r="AFP33" s="43"/>
      <c r="AFQ33" s="43"/>
      <c r="AFR33" s="43"/>
      <c r="AFS33" s="43"/>
      <c r="AFT33" s="43"/>
      <c r="AFU33" s="43"/>
      <c r="AFV33" s="43"/>
      <c r="AFW33" s="43"/>
      <c r="AFX33" s="43"/>
      <c r="AFY33" s="43"/>
      <c r="AFZ33" s="43"/>
      <c r="AGA33" s="43"/>
      <c r="AGB33" s="43"/>
      <c r="AGC33" s="43"/>
      <c r="AGD33" s="43"/>
      <c r="AGE33" s="43"/>
      <c r="AGF33" s="43"/>
      <c r="AGG33" s="43"/>
      <c r="AGH33" s="43"/>
      <c r="AGI33" s="43"/>
      <c r="AGJ33" s="43"/>
      <c r="AGK33" s="43"/>
      <c r="AGL33" s="43"/>
      <c r="AGM33" s="43"/>
      <c r="AGN33" s="43"/>
      <c r="AGO33" s="43"/>
      <c r="AGP33" s="43"/>
      <c r="AGQ33" s="43"/>
      <c r="AGR33" s="43"/>
      <c r="AGS33" s="43"/>
      <c r="AGT33" s="43"/>
      <c r="AGU33" s="43"/>
      <c r="AGV33" s="43"/>
      <c r="AGW33" s="43"/>
      <c r="AGX33" s="43"/>
      <c r="AGY33" s="43"/>
      <c r="AGZ33" s="43"/>
      <c r="AHA33" s="43"/>
      <c r="AHB33" s="43"/>
      <c r="AHC33" s="43"/>
      <c r="AHD33" s="43"/>
      <c r="AHE33" s="43"/>
      <c r="AHF33" s="43"/>
      <c r="AHG33" s="43"/>
      <c r="AHH33" s="43"/>
      <c r="AHI33" s="43"/>
      <c r="AHJ33" s="43"/>
      <c r="AHK33" s="43"/>
      <c r="AHL33" s="43"/>
      <c r="AHM33" s="43"/>
      <c r="AHN33" s="43"/>
      <c r="AHO33" s="43"/>
      <c r="AHP33" s="43"/>
      <c r="AHQ33" s="43"/>
      <c r="AHR33" s="43"/>
      <c r="AHS33" s="43"/>
      <c r="AHT33" s="43"/>
      <c r="AHU33" s="43"/>
      <c r="AHV33" s="43"/>
      <c r="AHW33" s="43"/>
      <c r="AHX33" s="43"/>
      <c r="AHY33" s="43"/>
      <c r="AHZ33" s="43"/>
      <c r="AIA33" s="43"/>
      <c r="AIB33" s="43"/>
      <c r="AIC33" s="43"/>
      <c r="AID33" s="43"/>
      <c r="AIE33" s="43"/>
      <c r="AIF33" s="43"/>
      <c r="AIG33" s="43"/>
      <c r="AIH33" s="43"/>
      <c r="AII33" s="43"/>
      <c r="AIJ33" s="43"/>
      <c r="AIK33" s="43"/>
      <c r="AIL33" s="43"/>
      <c r="AIM33" s="43"/>
      <c r="AIN33" s="43"/>
      <c r="AIO33" s="43"/>
      <c r="AIP33" s="43"/>
      <c r="AIQ33" s="43"/>
      <c r="AIR33" s="43"/>
      <c r="AIS33" s="43"/>
      <c r="AIT33" s="43"/>
      <c r="AIU33" s="43"/>
      <c r="AIV33" s="43"/>
      <c r="AIW33" s="43"/>
      <c r="AIX33" s="43"/>
      <c r="AIY33" s="43"/>
      <c r="AIZ33" s="43"/>
      <c r="AJA33" s="43"/>
      <c r="AJB33" s="43"/>
      <c r="AJC33" s="43"/>
      <c r="AJD33" s="43"/>
      <c r="AJE33" s="43"/>
      <c r="AJF33" s="43"/>
      <c r="AJG33" s="43"/>
      <c r="AJH33" s="43"/>
      <c r="AJI33" s="43"/>
      <c r="AJJ33" s="43"/>
      <c r="AJK33" s="43"/>
      <c r="AJL33" s="43"/>
      <c r="AJM33" s="43"/>
      <c r="AJN33" s="43"/>
      <c r="AJO33" s="43"/>
      <c r="AJP33" s="43"/>
      <c r="AJQ33" s="43"/>
      <c r="AJR33" s="43"/>
      <c r="AJS33" s="43"/>
      <c r="AJT33" s="43"/>
      <c r="AJU33" s="43"/>
      <c r="AJV33" s="43"/>
      <c r="AJW33" s="43"/>
      <c r="AJX33" s="43"/>
      <c r="AJY33" s="43"/>
      <c r="AJZ33" s="43"/>
      <c r="AKA33" s="43"/>
      <c r="AKB33" s="43"/>
      <c r="AKC33" s="43"/>
      <c r="AKD33" s="43"/>
      <c r="AKE33" s="43"/>
      <c r="AKF33" s="43"/>
      <c r="AKG33" s="43"/>
      <c r="AKH33" s="43"/>
      <c r="AKI33" s="43"/>
      <c r="AKJ33" s="43"/>
      <c r="AKK33" s="43"/>
      <c r="AKL33" s="43"/>
      <c r="AKM33" s="43"/>
      <c r="AKN33" s="43"/>
      <c r="AKO33" s="43"/>
      <c r="AKP33" s="43"/>
      <c r="AKQ33" s="43"/>
      <c r="AKR33" s="43"/>
      <c r="AKS33" s="43"/>
      <c r="AKT33" s="43"/>
      <c r="AKU33" s="43"/>
      <c r="AKV33" s="43"/>
      <c r="AKW33" s="43"/>
      <c r="AKX33" s="43"/>
      <c r="AKY33" s="43"/>
      <c r="AKZ33" s="43"/>
      <c r="ALA33" s="43"/>
      <c r="ALB33" s="43"/>
      <c r="ALC33" s="43"/>
      <c r="ALD33" s="43"/>
      <c r="ALE33" s="43"/>
      <c r="ALF33" s="43"/>
      <c r="ALG33" s="43"/>
      <c r="ALH33" s="43"/>
      <c r="ALI33" s="43"/>
      <c r="ALJ33" s="43"/>
      <c r="ALK33" s="43"/>
      <c r="ALL33" s="43"/>
      <c r="ALM33" s="43"/>
      <c r="ALN33" s="43"/>
      <c r="ALO33" s="43"/>
      <c r="ALP33" s="43"/>
      <c r="ALQ33" s="43"/>
      <c r="ALR33" s="43"/>
      <c r="ALS33" s="43"/>
      <c r="ALT33" s="43"/>
      <c r="ALU33" s="43"/>
      <c r="ALV33" s="43"/>
      <c r="ALW33" s="43"/>
      <c r="ALX33" s="43"/>
      <c r="ALY33" s="43"/>
      <c r="ALZ33" s="43"/>
      <c r="AMA33" s="43"/>
      <c r="AMB33" s="43"/>
      <c r="AMC33" s="43"/>
      <c r="AMD33" s="43"/>
      <c r="AME33" s="43"/>
      <c r="AMF33" s="43"/>
      <c r="AMG33" s="43"/>
      <c r="AMH33" s="43"/>
      <c r="AMI33" s="43"/>
    </row>
    <row r="34" spans="1:1024" s="35" customFormat="1" x14ac:dyDescent="0.2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  <c r="IW34" s="43"/>
      <c r="IX34" s="43"/>
      <c r="IY34" s="43"/>
      <c r="IZ34" s="43"/>
      <c r="JA34" s="43"/>
      <c r="JB34" s="43"/>
      <c r="JC34" s="43"/>
      <c r="JD34" s="43"/>
      <c r="JE34" s="43"/>
      <c r="JF34" s="43"/>
      <c r="JG34" s="43"/>
      <c r="JH34" s="43"/>
      <c r="JI34" s="43"/>
      <c r="JJ34" s="43"/>
      <c r="JK34" s="43"/>
      <c r="JL34" s="43"/>
      <c r="JM34" s="43"/>
      <c r="JN34" s="43"/>
      <c r="JO34" s="43"/>
      <c r="JP34" s="43"/>
      <c r="JQ34" s="43"/>
      <c r="JR34" s="43"/>
      <c r="JS34" s="43"/>
      <c r="JT34" s="43"/>
      <c r="JU34" s="43"/>
      <c r="JV34" s="43"/>
      <c r="JW34" s="43"/>
      <c r="JX34" s="43"/>
      <c r="JY34" s="43"/>
      <c r="JZ34" s="43"/>
      <c r="KA34" s="43"/>
      <c r="KB34" s="43"/>
      <c r="KC34" s="43"/>
      <c r="KD34" s="43"/>
      <c r="KE34" s="43"/>
      <c r="KF34" s="43"/>
      <c r="KG34" s="43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  <c r="ZQ34" s="43"/>
      <c r="ZR34" s="43"/>
      <c r="ZS34" s="43"/>
      <c r="ZT34" s="43"/>
      <c r="ZU34" s="43"/>
      <c r="ZV34" s="43"/>
      <c r="ZW34" s="43"/>
      <c r="ZX34" s="43"/>
      <c r="ZY34" s="43"/>
      <c r="ZZ34" s="43"/>
      <c r="AAA34" s="43"/>
      <c r="AAB34" s="43"/>
      <c r="AAC34" s="43"/>
      <c r="AAD34" s="43"/>
      <c r="AAE34" s="43"/>
      <c r="AAF34" s="43"/>
      <c r="AAG34" s="43"/>
      <c r="AAH34" s="43"/>
      <c r="AAI34" s="43"/>
      <c r="AAJ34" s="43"/>
      <c r="AAK34" s="43"/>
      <c r="AAL34" s="43"/>
      <c r="AAM34" s="43"/>
      <c r="AAN34" s="43"/>
      <c r="AAO34" s="43"/>
      <c r="AAP34" s="43"/>
      <c r="AAQ34" s="43"/>
      <c r="AAR34" s="43"/>
      <c r="AAS34" s="43"/>
      <c r="AAT34" s="43"/>
      <c r="AAU34" s="43"/>
      <c r="AAV34" s="43"/>
      <c r="AAW34" s="43"/>
      <c r="AAX34" s="43"/>
      <c r="AAY34" s="43"/>
      <c r="AAZ34" s="43"/>
      <c r="ABA34" s="43"/>
      <c r="ABB34" s="43"/>
      <c r="ABC34" s="43"/>
      <c r="ABD34" s="43"/>
      <c r="ABE34" s="43"/>
      <c r="ABF34" s="43"/>
      <c r="ABG34" s="43"/>
      <c r="ABH34" s="43"/>
      <c r="ABI34" s="43"/>
      <c r="ABJ34" s="43"/>
      <c r="ABK34" s="43"/>
      <c r="ABL34" s="43"/>
      <c r="ABM34" s="43"/>
      <c r="ABN34" s="43"/>
      <c r="ABO34" s="43"/>
      <c r="ABP34" s="43"/>
      <c r="ABQ34" s="43"/>
      <c r="ABR34" s="43"/>
      <c r="ABS34" s="43"/>
      <c r="ABT34" s="43"/>
      <c r="ABU34" s="43"/>
      <c r="ABV34" s="43"/>
      <c r="ABW34" s="43"/>
      <c r="ABX34" s="43"/>
      <c r="ABY34" s="43"/>
      <c r="ABZ34" s="43"/>
      <c r="ACA34" s="43"/>
      <c r="ACB34" s="43"/>
      <c r="ACC34" s="43"/>
      <c r="ACD34" s="43"/>
      <c r="ACE34" s="43"/>
      <c r="ACF34" s="43"/>
      <c r="ACG34" s="43"/>
      <c r="ACH34" s="43"/>
      <c r="ACI34" s="43"/>
      <c r="ACJ34" s="43"/>
      <c r="ACK34" s="43"/>
      <c r="ACL34" s="43"/>
      <c r="ACM34" s="43"/>
      <c r="ACN34" s="43"/>
      <c r="ACO34" s="43"/>
      <c r="ACP34" s="43"/>
      <c r="ACQ34" s="43"/>
      <c r="ACR34" s="43"/>
      <c r="ACS34" s="43"/>
      <c r="ACT34" s="43"/>
      <c r="ACU34" s="43"/>
      <c r="ACV34" s="43"/>
      <c r="ACW34" s="43"/>
      <c r="ACX34" s="43"/>
      <c r="ACY34" s="43"/>
      <c r="ACZ34" s="43"/>
      <c r="ADA34" s="43"/>
      <c r="ADB34" s="43"/>
      <c r="ADC34" s="43"/>
      <c r="ADD34" s="43"/>
      <c r="ADE34" s="43"/>
      <c r="ADF34" s="43"/>
      <c r="ADG34" s="43"/>
      <c r="ADH34" s="43"/>
      <c r="ADI34" s="43"/>
      <c r="ADJ34" s="43"/>
      <c r="ADK34" s="43"/>
      <c r="ADL34" s="43"/>
      <c r="ADM34" s="43"/>
      <c r="ADN34" s="43"/>
      <c r="ADO34" s="43"/>
      <c r="ADP34" s="43"/>
      <c r="ADQ34" s="43"/>
      <c r="ADR34" s="43"/>
      <c r="ADS34" s="43"/>
      <c r="ADT34" s="43"/>
      <c r="ADU34" s="43"/>
      <c r="ADV34" s="43"/>
      <c r="ADW34" s="43"/>
      <c r="ADX34" s="43"/>
      <c r="ADY34" s="43"/>
      <c r="ADZ34" s="43"/>
      <c r="AEA34" s="43"/>
      <c r="AEB34" s="43"/>
      <c r="AEC34" s="43"/>
      <c r="AED34" s="43"/>
      <c r="AEE34" s="43"/>
      <c r="AEF34" s="43"/>
      <c r="AEG34" s="43"/>
      <c r="AEH34" s="43"/>
      <c r="AEI34" s="43"/>
      <c r="AEJ34" s="43"/>
      <c r="AEK34" s="43"/>
      <c r="AEL34" s="43"/>
      <c r="AEM34" s="43"/>
      <c r="AEN34" s="43"/>
      <c r="AEO34" s="43"/>
      <c r="AEP34" s="43"/>
      <c r="AEQ34" s="43"/>
      <c r="AER34" s="43"/>
      <c r="AES34" s="43"/>
      <c r="AET34" s="43"/>
      <c r="AEU34" s="43"/>
      <c r="AEV34" s="43"/>
      <c r="AEW34" s="43"/>
      <c r="AEX34" s="43"/>
      <c r="AEY34" s="43"/>
      <c r="AEZ34" s="43"/>
      <c r="AFA34" s="43"/>
      <c r="AFB34" s="43"/>
      <c r="AFC34" s="43"/>
      <c r="AFD34" s="43"/>
      <c r="AFE34" s="43"/>
      <c r="AFF34" s="43"/>
      <c r="AFG34" s="43"/>
      <c r="AFH34" s="43"/>
      <c r="AFI34" s="43"/>
      <c r="AFJ34" s="43"/>
      <c r="AFK34" s="43"/>
      <c r="AFL34" s="43"/>
      <c r="AFM34" s="43"/>
      <c r="AFN34" s="43"/>
      <c r="AFO34" s="43"/>
      <c r="AFP34" s="43"/>
      <c r="AFQ34" s="43"/>
      <c r="AFR34" s="43"/>
      <c r="AFS34" s="43"/>
      <c r="AFT34" s="43"/>
      <c r="AFU34" s="43"/>
      <c r="AFV34" s="43"/>
      <c r="AFW34" s="43"/>
      <c r="AFX34" s="43"/>
      <c r="AFY34" s="43"/>
      <c r="AFZ34" s="43"/>
      <c r="AGA34" s="43"/>
      <c r="AGB34" s="43"/>
      <c r="AGC34" s="43"/>
      <c r="AGD34" s="43"/>
      <c r="AGE34" s="43"/>
      <c r="AGF34" s="43"/>
      <c r="AGG34" s="43"/>
      <c r="AGH34" s="43"/>
      <c r="AGI34" s="43"/>
      <c r="AGJ34" s="43"/>
      <c r="AGK34" s="43"/>
      <c r="AGL34" s="43"/>
      <c r="AGM34" s="43"/>
      <c r="AGN34" s="43"/>
      <c r="AGO34" s="43"/>
      <c r="AGP34" s="43"/>
      <c r="AGQ34" s="43"/>
      <c r="AGR34" s="43"/>
      <c r="AGS34" s="43"/>
      <c r="AGT34" s="43"/>
      <c r="AGU34" s="43"/>
      <c r="AGV34" s="43"/>
      <c r="AGW34" s="43"/>
      <c r="AGX34" s="43"/>
      <c r="AGY34" s="43"/>
      <c r="AGZ34" s="43"/>
      <c r="AHA34" s="43"/>
      <c r="AHB34" s="43"/>
      <c r="AHC34" s="43"/>
      <c r="AHD34" s="43"/>
      <c r="AHE34" s="43"/>
      <c r="AHF34" s="43"/>
      <c r="AHG34" s="43"/>
      <c r="AHH34" s="43"/>
      <c r="AHI34" s="43"/>
      <c r="AHJ34" s="43"/>
      <c r="AHK34" s="43"/>
      <c r="AHL34" s="43"/>
      <c r="AHM34" s="43"/>
      <c r="AHN34" s="43"/>
      <c r="AHO34" s="43"/>
      <c r="AHP34" s="43"/>
      <c r="AHQ34" s="43"/>
      <c r="AHR34" s="43"/>
      <c r="AHS34" s="43"/>
      <c r="AHT34" s="43"/>
      <c r="AHU34" s="43"/>
      <c r="AHV34" s="43"/>
      <c r="AHW34" s="43"/>
      <c r="AHX34" s="43"/>
      <c r="AHY34" s="43"/>
      <c r="AHZ34" s="43"/>
      <c r="AIA34" s="43"/>
      <c r="AIB34" s="43"/>
      <c r="AIC34" s="43"/>
      <c r="AID34" s="43"/>
      <c r="AIE34" s="43"/>
      <c r="AIF34" s="43"/>
      <c r="AIG34" s="43"/>
      <c r="AIH34" s="43"/>
      <c r="AII34" s="43"/>
      <c r="AIJ34" s="43"/>
      <c r="AIK34" s="43"/>
      <c r="AIL34" s="43"/>
      <c r="AIM34" s="43"/>
      <c r="AIN34" s="43"/>
      <c r="AIO34" s="43"/>
      <c r="AIP34" s="43"/>
      <c r="AIQ34" s="43"/>
      <c r="AIR34" s="43"/>
      <c r="AIS34" s="43"/>
      <c r="AIT34" s="43"/>
      <c r="AIU34" s="43"/>
      <c r="AIV34" s="43"/>
      <c r="AIW34" s="43"/>
      <c r="AIX34" s="43"/>
      <c r="AIY34" s="43"/>
      <c r="AIZ34" s="43"/>
      <c r="AJA34" s="43"/>
      <c r="AJB34" s="43"/>
      <c r="AJC34" s="43"/>
      <c r="AJD34" s="43"/>
      <c r="AJE34" s="43"/>
      <c r="AJF34" s="43"/>
      <c r="AJG34" s="43"/>
      <c r="AJH34" s="43"/>
      <c r="AJI34" s="43"/>
      <c r="AJJ34" s="43"/>
      <c r="AJK34" s="43"/>
      <c r="AJL34" s="43"/>
      <c r="AJM34" s="43"/>
      <c r="AJN34" s="43"/>
      <c r="AJO34" s="43"/>
      <c r="AJP34" s="43"/>
      <c r="AJQ34" s="43"/>
      <c r="AJR34" s="43"/>
      <c r="AJS34" s="43"/>
      <c r="AJT34" s="43"/>
      <c r="AJU34" s="43"/>
      <c r="AJV34" s="43"/>
      <c r="AJW34" s="43"/>
      <c r="AJX34" s="43"/>
      <c r="AJY34" s="43"/>
      <c r="AJZ34" s="43"/>
      <c r="AKA34" s="43"/>
      <c r="AKB34" s="43"/>
      <c r="AKC34" s="43"/>
      <c r="AKD34" s="43"/>
      <c r="AKE34" s="43"/>
      <c r="AKF34" s="43"/>
      <c r="AKG34" s="43"/>
      <c r="AKH34" s="43"/>
      <c r="AKI34" s="43"/>
      <c r="AKJ34" s="43"/>
      <c r="AKK34" s="43"/>
      <c r="AKL34" s="43"/>
      <c r="AKM34" s="43"/>
      <c r="AKN34" s="43"/>
      <c r="AKO34" s="43"/>
      <c r="AKP34" s="43"/>
      <c r="AKQ34" s="43"/>
      <c r="AKR34" s="43"/>
      <c r="AKS34" s="43"/>
      <c r="AKT34" s="43"/>
      <c r="AKU34" s="43"/>
      <c r="AKV34" s="43"/>
      <c r="AKW34" s="43"/>
      <c r="AKX34" s="43"/>
      <c r="AKY34" s="43"/>
      <c r="AKZ34" s="43"/>
      <c r="ALA34" s="43"/>
      <c r="ALB34" s="43"/>
      <c r="ALC34" s="43"/>
      <c r="ALD34" s="43"/>
      <c r="ALE34" s="43"/>
      <c r="ALF34" s="43"/>
      <c r="ALG34" s="43"/>
      <c r="ALH34" s="43"/>
      <c r="ALI34" s="43"/>
      <c r="ALJ34" s="43"/>
      <c r="ALK34" s="43"/>
      <c r="ALL34" s="43"/>
      <c r="ALM34" s="43"/>
      <c r="ALN34" s="43"/>
      <c r="ALO34" s="43"/>
      <c r="ALP34" s="43"/>
      <c r="ALQ34" s="43"/>
      <c r="ALR34" s="43"/>
      <c r="ALS34" s="43"/>
      <c r="ALT34" s="43"/>
      <c r="ALU34" s="43"/>
      <c r="ALV34" s="43"/>
      <c r="ALW34" s="43"/>
      <c r="ALX34" s="43"/>
      <c r="ALY34" s="43"/>
      <c r="ALZ34" s="43"/>
      <c r="AMA34" s="43"/>
      <c r="AMB34" s="43"/>
      <c r="AMC34" s="43"/>
      <c r="AMD34" s="43"/>
      <c r="AME34" s="43"/>
      <c r="AMF34" s="43"/>
      <c r="AMG34" s="43"/>
      <c r="AMH34" s="43"/>
      <c r="AMI34" s="43"/>
    </row>
    <row r="35" spans="1:1024" s="35" customFormat="1" x14ac:dyDescent="0.25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  <c r="IW35" s="43"/>
      <c r="IX35" s="43"/>
      <c r="IY35" s="43"/>
      <c r="IZ35" s="43"/>
      <c r="JA35" s="43"/>
      <c r="JB35" s="43"/>
      <c r="JC35" s="43"/>
      <c r="JD35" s="43"/>
      <c r="JE35" s="43"/>
      <c r="JF35" s="43"/>
      <c r="JG35" s="43"/>
      <c r="JH35" s="43"/>
      <c r="JI35" s="43"/>
      <c r="JJ35" s="43"/>
      <c r="JK35" s="43"/>
      <c r="JL35" s="43"/>
      <c r="JM35" s="43"/>
      <c r="JN35" s="43"/>
      <c r="JO35" s="43"/>
      <c r="JP35" s="43"/>
      <c r="JQ35" s="43"/>
      <c r="JR35" s="43"/>
      <c r="JS35" s="43"/>
      <c r="JT35" s="43"/>
      <c r="JU35" s="43"/>
      <c r="JV35" s="43"/>
      <c r="JW35" s="43"/>
      <c r="JX35" s="43"/>
      <c r="JY35" s="43"/>
      <c r="JZ35" s="43"/>
      <c r="KA35" s="43"/>
      <c r="KB35" s="43"/>
      <c r="KC35" s="43"/>
      <c r="KD35" s="43"/>
      <c r="KE35" s="43"/>
      <c r="KF35" s="43"/>
      <c r="KG35" s="43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  <c r="ZQ35" s="43"/>
      <c r="ZR35" s="43"/>
      <c r="ZS35" s="43"/>
      <c r="ZT35" s="43"/>
      <c r="ZU35" s="43"/>
      <c r="ZV35" s="43"/>
      <c r="ZW35" s="43"/>
      <c r="ZX35" s="43"/>
      <c r="ZY35" s="43"/>
      <c r="ZZ35" s="43"/>
      <c r="AAA35" s="43"/>
      <c r="AAB35" s="43"/>
      <c r="AAC35" s="43"/>
      <c r="AAD35" s="43"/>
      <c r="AAE35" s="43"/>
      <c r="AAF35" s="43"/>
      <c r="AAG35" s="43"/>
      <c r="AAH35" s="43"/>
      <c r="AAI35" s="43"/>
      <c r="AAJ35" s="43"/>
      <c r="AAK35" s="43"/>
      <c r="AAL35" s="43"/>
      <c r="AAM35" s="43"/>
      <c r="AAN35" s="43"/>
      <c r="AAO35" s="43"/>
      <c r="AAP35" s="43"/>
      <c r="AAQ35" s="43"/>
      <c r="AAR35" s="43"/>
      <c r="AAS35" s="43"/>
      <c r="AAT35" s="43"/>
      <c r="AAU35" s="43"/>
      <c r="AAV35" s="43"/>
      <c r="AAW35" s="43"/>
      <c r="AAX35" s="43"/>
      <c r="AAY35" s="43"/>
      <c r="AAZ35" s="43"/>
      <c r="ABA35" s="43"/>
      <c r="ABB35" s="43"/>
      <c r="ABC35" s="43"/>
      <c r="ABD35" s="43"/>
      <c r="ABE35" s="43"/>
      <c r="ABF35" s="43"/>
      <c r="ABG35" s="43"/>
      <c r="ABH35" s="43"/>
      <c r="ABI35" s="43"/>
      <c r="ABJ35" s="43"/>
      <c r="ABK35" s="43"/>
      <c r="ABL35" s="43"/>
      <c r="ABM35" s="43"/>
      <c r="ABN35" s="43"/>
      <c r="ABO35" s="43"/>
      <c r="ABP35" s="43"/>
      <c r="ABQ35" s="43"/>
      <c r="ABR35" s="43"/>
      <c r="ABS35" s="43"/>
      <c r="ABT35" s="43"/>
      <c r="ABU35" s="43"/>
      <c r="ABV35" s="43"/>
      <c r="ABW35" s="43"/>
      <c r="ABX35" s="43"/>
      <c r="ABY35" s="43"/>
      <c r="ABZ35" s="43"/>
      <c r="ACA35" s="43"/>
      <c r="ACB35" s="43"/>
      <c r="ACC35" s="43"/>
      <c r="ACD35" s="43"/>
      <c r="ACE35" s="43"/>
      <c r="ACF35" s="43"/>
      <c r="ACG35" s="43"/>
      <c r="ACH35" s="43"/>
      <c r="ACI35" s="43"/>
      <c r="ACJ35" s="43"/>
      <c r="ACK35" s="43"/>
      <c r="ACL35" s="43"/>
      <c r="ACM35" s="43"/>
      <c r="ACN35" s="43"/>
      <c r="ACO35" s="43"/>
      <c r="ACP35" s="43"/>
      <c r="ACQ35" s="43"/>
      <c r="ACR35" s="43"/>
      <c r="ACS35" s="43"/>
      <c r="ACT35" s="43"/>
      <c r="ACU35" s="43"/>
      <c r="ACV35" s="43"/>
      <c r="ACW35" s="43"/>
      <c r="ACX35" s="43"/>
      <c r="ACY35" s="43"/>
      <c r="ACZ35" s="43"/>
      <c r="ADA35" s="43"/>
      <c r="ADB35" s="43"/>
      <c r="ADC35" s="43"/>
      <c r="ADD35" s="43"/>
      <c r="ADE35" s="43"/>
      <c r="ADF35" s="43"/>
      <c r="ADG35" s="43"/>
      <c r="ADH35" s="43"/>
      <c r="ADI35" s="43"/>
      <c r="ADJ35" s="43"/>
      <c r="ADK35" s="43"/>
      <c r="ADL35" s="43"/>
      <c r="ADM35" s="43"/>
      <c r="ADN35" s="43"/>
      <c r="ADO35" s="43"/>
      <c r="ADP35" s="43"/>
      <c r="ADQ35" s="43"/>
      <c r="ADR35" s="43"/>
      <c r="ADS35" s="43"/>
      <c r="ADT35" s="43"/>
      <c r="ADU35" s="43"/>
      <c r="ADV35" s="43"/>
      <c r="ADW35" s="43"/>
      <c r="ADX35" s="43"/>
      <c r="ADY35" s="43"/>
      <c r="ADZ35" s="43"/>
      <c r="AEA35" s="43"/>
      <c r="AEB35" s="43"/>
      <c r="AEC35" s="43"/>
      <c r="AED35" s="43"/>
      <c r="AEE35" s="43"/>
      <c r="AEF35" s="43"/>
      <c r="AEG35" s="43"/>
      <c r="AEH35" s="43"/>
      <c r="AEI35" s="43"/>
      <c r="AEJ35" s="43"/>
      <c r="AEK35" s="43"/>
      <c r="AEL35" s="43"/>
      <c r="AEM35" s="43"/>
      <c r="AEN35" s="43"/>
      <c r="AEO35" s="43"/>
      <c r="AEP35" s="43"/>
      <c r="AEQ35" s="43"/>
      <c r="AER35" s="43"/>
      <c r="AES35" s="43"/>
      <c r="AET35" s="43"/>
      <c r="AEU35" s="43"/>
      <c r="AEV35" s="43"/>
      <c r="AEW35" s="43"/>
      <c r="AEX35" s="43"/>
      <c r="AEY35" s="43"/>
      <c r="AEZ35" s="43"/>
      <c r="AFA35" s="43"/>
      <c r="AFB35" s="43"/>
      <c r="AFC35" s="43"/>
      <c r="AFD35" s="43"/>
      <c r="AFE35" s="43"/>
      <c r="AFF35" s="43"/>
      <c r="AFG35" s="43"/>
      <c r="AFH35" s="43"/>
      <c r="AFI35" s="43"/>
      <c r="AFJ35" s="43"/>
      <c r="AFK35" s="43"/>
      <c r="AFL35" s="43"/>
      <c r="AFM35" s="43"/>
      <c r="AFN35" s="43"/>
      <c r="AFO35" s="43"/>
      <c r="AFP35" s="43"/>
      <c r="AFQ35" s="43"/>
      <c r="AFR35" s="43"/>
      <c r="AFS35" s="43"/>
      <c r="AFT35" s="43"/>
      <c r="AFU35" s="43"/>
      <c r="AFV35" s="43"/>
      <c r="AFW35" s="43"/>
      <c r="AFX35" s="43"/>
      <c r="AFY35" s="43"/>
      <c r="AFZ35" s="43"/>
      <c r="AGA35" s="43"/>
      <c r="AGB35" s="43"/>
      <c r="AGC35" s="43"/>
      <c r="AGD35" s="43"/>
      <c r="AGE35" s="43"/>
      <c r="AGF35" s="43"/>
      <c r="AGG35" s="43"/>
      <c r="AGH35" s="43"/>
      <c r="AGI35" s="43"/>
      <c r="AGJ35" s="43"/>
      <c r="AGK35" s="43"/>
      <c r="AGL35" s="43"/>
      <c r="AGM35" s="43"/>
      <c r="AGN35" s="43"/>
      <c r="AGO35" s="43"/>
      <c r="AGP35" s="43"/>
      <c r="AGQ35" s="43"/>
      <c r="AGR35" s="43"/>
      <c r="AGS35" s="43"/>
      <c r="AGT35" s="43"/>
      <c r="AGU35" s="43"/>
      <c r="AGV35" s="43"/>
      <c r="AGW35" s="43"/>
      <c r="AGX35" s="43"/>
      <c r="AGY35" s="43"/>
      <c r="AGZ35" s="43"/>
      <c r="AHA35" s="43"/>
      <c r="AHB35" s="43"/>
      <c r="AHC35" s="43"/>
      <c r="AHD35" s="43"/>
      <c r="AHE35" s="43"/>
      <c r="AHF35" s="43"/>
      <c r="AHG35" s="43"/>
      <c r="AHH35" s="43"/>
      <c r="AHI35" s="43"/>
      <c r="AHJ35" s="43"/>
      <c r="AHK35" s="43"/>
      <c r="AHL35" s="43"/>
      <c r="AHM35" s="43"/>
      <c r="AHN35" s="43"/>
      <c r="AHO35" s="43"/>
      <c r="AHP35" s="43"/>
      <c r="AHQ35" s="43"/>
      <c r="AHR35" s="43"/>
      <c r="AHS35" s="43"/>
      <c r="AHT35" s="43"/>
      <c r="AHU35" s="43"/>
      <c r="AHV35" s="43"/>
      <c r="AHW35" s="43"/>
      <c r="AHX35" s="43"/>
      <c r="AHY35" s="43"/>
      <c r="AHZ35" s="43"/>
      <c r="AIA35" s="43"/>
      <c r="AIB35" s="43"/>
      <c r="AIC35" s="43"/>
      <c r="AID35" s="43"/>
      <c r="AIE35" s="43"/>
      <c r="AIF35" s="43"/>
      <c r="AIG35" s="43"/>
      <c r="AIH35" s="43"/>
      <c r="AII35" s="43"/>
      <c r="AIJ35" s="43"/>
      <c r="AIK35" s="43"/>
      <c r="AIL35" s="43"/>
      <c r="AIM35" s="43"/>
      <c r="AIN35" s="43"/>
      <c r="AIO35" s="43"/>
      <c r="AIP35" s="43"/>
      <c r="AIQ35" s="43"/>
      <c r="AIR35" s="43"/>
      <c r="AIS35" s="43"/>
      <c r="AIT35" s="43"/>
      <c r="AIU35" s="43"/>
      <c r="AIV35" s="43"/>
      <c r="AIW35" s="43"/>
      <c r="AIX35" s="43"/>
      <c r="AIY35" s="43"/>
      <c r="AIZ35" s="43"/>
      <c r="AJA35" s="43"/>
      <c r="AJB35" s="43"/>
      <c r="AJC35" s="43"/>
      <c r="AJD35" s="43"/>
      <c r="AJE35" s="43"/>
      <c r="AJF35" s="43"/>
      <c r="AJG35" s="43"/>
      <c r="AJH35" s="43"/>
      <c r="AJI35" s="43"/>
      <c r="AJJ35" s="43"/>
      <c r="AJK35" s="43"/>
      <c r="AJL35" s="43"/>
      <c r="AJM35" s="43"/>
      <c r="AJN35" s="43"/>
      <c r="AJO35" s="43"/>
      <c r="AJP35" s="43"/>
      <c r="AJQ35" s="43"/>
      <c r="AJR35" s="43"/>
      <c r="AJS35" s="43"/>
      <c r="AJT35" s="43"/>
      <c r="AJU35" s="43"/>
      <c r="AJV35" s="43"/>
      <c r="AJW35" s="43"/>
      <c r="AJX35" s="43"/>
      <c r="AJY35" s="43"/>
      <c r="AJZ35" s="43"/>
      <c r="AKA35" s="43"/>
      <c r="AKB35" s="43"/>
      <c r="AKC35" s="43"/>
      <c r="AKD35" s="43"/>
      <c r="AKE35" s="43"/>
      <c r="AKF35" s="43"/>
      <c r="AKG35" s="43"/>
      <c r="AKH35" s="43"/>
      <c r="AKI35" s="43"/>
      <c r="AKJ35" s="43"/>
      <c r="AKK35" s="43"/>
      <c r="AKL35" s="43"/>
      <c r="AKM35" s="43"/>
      <c r="AKN35" s="43"/>
      <c r="AKO35" s="43"/>
      <c r="AKP35" s="43"/>
      <c r="AKQ35" s="43"/>
      <c r="AKR35" s="43"/>
      <c r="AKS35" s="43"/>
      <c r="AKT35" s="43"/>
      <c r="AKU35" s="43"/>
      <c r="AKV35" s="43"/>
      <c r="AKW35" s="43"/>
      <c r="AKX35" s="43"/>
      <c r="AKY35" s="43"/>
      <c r="AKZ35" s="43"/>
      <c r="ALA35" s="43"/>
      <c r="ALB35" s="43"/>
      <c r="ALC35" s="43"/>
      <c r="ALD35" s="43"/>
      <c r="ALE35" s="43"/>
      <c r="ALF35" s="43"/>
      <c r="ALG35" s="43"/>
      <c r="ALH35" s="43"/>
      <c r="ALI35" s="43"/>
      <c r="ALJ35" s="43"/>
      <c r="ALK35" s="43"/>
      <c r="ALL35" s="43"/>
      <c r="ALM35" s="43"/>
      <c r="ALN35" s="43"/>
      <c r="ALO35" s="43"/>
      <c r="ALP35" s="43"/>
      <c r="ALQ35" s="43"/>
      <c r="ALR35" s="43"/>
      <c r="ALS35" s="43"/>
      <c r="ALT35" s="43"/>
      <c r="ALU35" s="43"/>
      <c r="ALV35" s="43"/>
      <c r="ALW35" s="43"/>
      <c r="ALX35" s="43"/>
      <c r="ALY35" s="43"/>
      <c r="ALZ35" s="43"/>
      <c r="AMA35" s="43"/>
      <c r="AMB35" s="43"/>
      <c r="AMC35" s="43"/>
      <c r="AMD35" s="43"/>
      <c r="AME35" s="43"/>
      <c r="AMF35" s="43"/>
      <c r="AMG35" s="43"/>
      <c r="AMH35" s="43"/>
      <c r="AMI35" s="43"/>
    </row>
    <row r="36" spans="1:1024" s="35" customFormat="1" x14ac:dyDescent="0.25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  <c r="ZQ36" s="43"/>
      <c r="ZR36" s="43"/>
      <c r="ZS36" s="43"/>
      <c r="ZT36" s="43"/>
      <c r="ZU36" s="43"/>
      <c r="ZV36" s="43"/>
      <c r="ZW36" s="43"/>
      <c r="ZX36" s="43"/>
      <c r="ZY36" s="43"/>
      <c r="ZZ36" s="43"/>
      <c r="AAA36" s="43"/>
      <c r="AAB36" s="43"/>
      <c r="AAC36" s="43"/>
      <c r="AAD36" s="43"/>
      <c r="AAE36" s="43"/>
      <c r="AAF36" s="43"/>
      <c r="AAG36" s="43"/>
      <c r="AAH36" s="43"/>
      <c r="AAI36" s="43"/>
      <c r="AAJ36" s="43"/>
      <c r="AAK36" s="43"/>
      <c r="AAL36" s="43"/>
      <c r="AAM36" s="43"/>
      <c r="AAN36" s="43"/>
      <c r="AAO36" s="43"/>
      <c r="AAP36" s="43"/>
      <c r="AAQ36" s="43"/>
      <c r="AAR36" s="43"/>
      <c r="AAS36" s="43"/>
      <c r="AAT36" s="43"/>
      <c r="AAU36" s="43"/>
      <c r="AAV36" s="43"/>
      <c r="AAW36" s="43"/>
      <c r="AAX36" s="43"/>
      <c r="AAY36" s="43"/>
      <c r="AAZ36" s="43"/>
      <c r="ABA36" s="43"/>
      <c r="ABB36" s="43"/>
      <c r="ABC36" s="43"/>
      <c r="ABD36" s="43"/>
      <c r="ABE36" s="43"/>
      <c r="ABF36" s="43"/>
      <c r="ABG36" s="43"/>
      <c r="ABH36" s="43"/>
      <c r="ABI36" s="43"/>
      <c r="ABJ36" s="43"/>
      <c r="ABK36" s="43"/>
      <c r="ABL36" s="43"/>
      <c r="ABM36" s="43"/>
      <c r="ABN36" s="43"/>
      <c r="ABO36" s="43"/>
      <c r="ABP36" s="43"/>
      <c r="ABQ36" s="43"/>
      <c r="ABR36" s="43"/>
      <c r="ABS36" s="43"/>
      <c r="ABT36" s="43"/>
      <c r="ABU36" s="43"/>
      <c r="ABV36" s="43"/>
      <c r="ABW36" s="43"/>
      <c r="ABX36" s="43"/>
      <c r="ABY36" s="43"/>
      <c r="ABZ36" s="43"/>
      <c r="ACA36" s="43"/>
      <c r="ACB36" s="43"/>
      <c r="ACC36" s="43"/>
      <c r="ACD36" s="43"/>
      <c r="ACE36" s="43"/>
      <c r="ACF36" s="43"/>
      <c r="ACG36" s="43"/>
      <c r="ACH36" s="43"/>
      <c r="ACI36" s="43"/>
      <c r="ACJ36" s="43"/>
      <c r="ACK36" s="43"/>
      <c r="ACL36" s="43"/>
      <c r="ACM36" s="43"/>
      <c r="ACN36" s="43"/>
      <c r="ACO36" s="43"/>
      <c r="ACP36" s="43"/>
      <c r="ACQ36" s="43"/>
      <c r="ACR36" s="43"/>
      <c r="ACS36" s="43"/>
      <c r="ACT36" s="43"/>
      <c r="ACU36" s="43"/>
      <c r="ACV36" s="43"/>
      <c r="ACW36" s="43"/>
      <c r="ACX36" s="43"/>
      <c r="ACY36" s="43"/>
      <c r="ACZ36" s="43"/>
      <c r="ADA36" s="43"/>
      <c r="ADB36" s="43"/>
      <c r="ADC36" s="43"/>
      <c r="ADD36" s="43"/>
      <c r="ADE36" s="43"/>
      <c r="ADF36" s="43"/>
      <c r="ADG36" s="43"/>
      <c r="ADH36" s="43"/>
      <c r="ADI36" s="43"/>
      <c r="ADJ36" s="43"/>
      <c r="ADK36" s="43"/>
      <c r="ADL36" s="43"/>
      <c r="ADM36" s="43"/>
      <c r="ADN36" s="43"/>
      <c r="ADO36" s="43"/>
      <c r="ADP36" s="43"/>
      <c r="ADQ36" s="43"/>
      <c r="ADR36" s="43"/>
      <c r="ADS36" s="43"/>
      <c r="ADT36" s="43"/>
      <c r="ADU36" s="43"/>
      <c r="ADV36" s="43"/>
      <c r="ADW36" s="43"/>
      <c r="ADX36" s="43"/>
      <c r="ADY36" s="43"/>
      <c r="ADZ36" s="43"/>
      <c r="AEA36" s="43"/>
      <c r="AEB36" s="43"/>
      <c r="AEC36" s="43"/>
      <c r="AED36" s="43"/>
      <c r="AEE36" s="43"/>
      <c r="AEF36" s="43"/>
      <c r="AEG36" s="43"/>
      <c r="AEH36" s="43"/>
      <c r="AEI36" s="43"/>
      <c r="AEJ36" s="43"/>
      <c r="AEK36" s="43"/>
      <c r="AEL36" s="43"/>
      <c r="AEM36" s="43"/>
      <c r="AEN36" s="43"/>
      <c r="AEO36" s="43"/>
      <c r="AEP36" s="43"/>
      <c r="AEQ36" s="43"/>
      <c r="AER36" s="43"/>
      <c r="AES36" s="43"/>
      <c r="AET36" s="43"/>
      <c r="AEU36" s="43"/>
      <c r="AEV36" s="43"/>
      <c r="AEW36" s="43"/>
      <c r="AEX36" s="43"/>
      <c r="AEY36" s="43"/>
      <c r="AEZ36" s="43"/>
      <c r="AFA36" s="43"/>
      <c r="AFB36" s="43"/>
      <c r="AFC36" s="43"/>
      <c r="AFD36" s="43"/>
      <c r="AFE36" s="43"/>
      <c r="AFF36" s="43"/>
      <c r="AFG36" s="43"/>
      <c r="AFH36" s="43"/>
      <c r="AFI36" s="43"/>
      <c r="AFJ36" s="43"/>
      <c r="AFK36" s="43"/>
      <c r="AFL36" s="43"/>
      <c r="AFM36" s="43"/>
      <c r="AFN36" s="43"/>
      <c r="AFO36" s="43"/>
      <c r="AFP36" s="43"/>
      <c r="AFQ36" s="43"/>
      <c r="AFR36" s="43"/>
      <c r="AFS36" s="43"/>
      <c r="AFT36" s="43"/>
      <c r="AFU36" s="43"/>
      <c r="AFV36" s="43"/>
      <c r="AFW36" s="43"/>
      <c r="AFX36" s="43"/>
      <c r="AFY36" s="43"/>
      <c r="AFZ36" s="43"/>
      <c r="AGA36" s="43"/>
      <c r="AGB36" s="43"/>
      <c r="AGC36" s="43"/>
      <c r="AGD36" s="43"/>
      <c r="AGE36" s="43"/>
      <c r="AGF36" s="43"/>
      <c r="AGG36" s="43"/>
      <c r="AGH36" s="43"/>
      <c r="AGI36" s="43"/>
      <c r="AGJ36" s="43"/>
      <c r="AGK36" s="43"/>
      <c r="AGL36" s="43"/>
      <c r="AGM36" s="43"/>
      <c r="AGN36" s="43"/>
      <c r="AGO36" s="43"/>
      <c r="AGP36" s="43"/>
      <c r="AGQ36" s="43"/>
      <c r="AGR36" s="43"/>
      <c r="AGS36" s="43"/>
      <c r="AGT36" s="43"/>
      <c r="AGU36" s="43"/>
      <c r="AGV36" s="43"/>
      <c r="AGW36" s="43"/>
      <c r="AGX36" s="43"/>
      <c r="AGY36" s="43"/>
      <c r="AGZ36" s="43"/>
      <c r="AHA36" s="43"/>
      <c r="AHB36" s="43"/>
      <c r="AHC36" s="43"/>
      <c r="AHD36" s="43"/>
      <c r="AHE36" s="43"/>
      <c r="AHF36" s="43"/>
      <c r="AHG36" s="43"/>
      <c r="AHH36" s="43"/>
      <c r="AHI36" s="43"/>
      <c r="AHJ36" s="43"/>
      <c r="AHK36" s="43"/>
      <c r="AHL36" s="43"/>
      <c r="AHM36" s="43"/>
      <c r="AHN36" s="43"/>
      <c r="AHO36" s="43"/>
      <c r="AHP36" s="43"/>
      <c r="AHQ36" s="43"/>
      <c r="AHR36" s="43"/>
      <c r="AHS36" s="43"/>
      <c r="AHT36" s="43"/>
      <c r="AHU36" s="43"/>
      <c r="AHV36" s="43"/>
      <c r="AHW36" s="43"/>
      <c r="AHX36" s="43"/>
      <c r="AHY36" s="43"/>
      <c r="AHZ36" s="43"/>
      <c r="AIA36" s="43"/>
      <c r="AIB36" s="43"/>
      <c r="AIC36" s="43"/>
      <c r="AID36" s="43"/>
      <c r="AIE36" s="43"/>
      <c r="AIF36" s="43"/>
      <c r="AIG36" s="43"/>
      <c r="AIH36" s="43"/>
      <c r="AII36" s="43"/>
      <c r="AIJ36" s="43"/>
      <c r="AIK36" s="43"/>
      <c r="AIL36" s="43"/>
      <c r="AIM36" s="43"/>
      <c r="AIN36" s="43"/>
      <c r="AIO36" s="43"/>
      <c r="AIP36" s="43"/>
      <c r="AIQ36" s="43"/>
      <c r="AIR36" s="43"/>
      <c r="AIS36" s="43"/>
      <c r="AIT36" s="43"/>
      <c r="AIU36" s="43"/>
      <c r="AIV36" s="43"/>
      <c r="AIW36" s="43"/>
      <c r="AIX36" s="43"/>
      <c r="AIY36" s="43"/>
      <c r="AIZ36" s="43"/>
      <c r="AJA36" s="43"/>
      <c r="AJB36" s="43"/>
      <c r="AJC36" s="43"/>
      <c r="AJD36" s="43"/>
      <c r="AJE36" s="43"/>
      <c r="AJF36" s="43"/>
      <c r="AJG36" s="43"/>
      <c r="AJH36" s="43"/>
      <c r="AJI36" s="43"/>
      <c r="AJJ36" s="43"/>
      <c r="AJK36" s="43"/>
      <c r="AJL36" s="43"/>
      <c r="AJM36" s="43"/>
      <c r="AJN36" s="43"/>
      <c r="AJO36" s="43"/>
      <c r="AJP36" s="43"/>
      <c r="AJQ36" s="43"/>
      <c r="AJR36" s="43"/>
      <c r="AJS36" s="43"/>
      <c r="AJT36" s="43"/>
      <c r="AJU36" s="43"/>
      <c r="AJV36" s="43"/>
      <c r="AJW36" s="43"/>
      <c r="AJX36" s="43"/>
      <c r="AJY36" s="43"/>
      <c r="AJZ36" s="43"/>
      <c r="AKA36" s="43"/>
      <c r="AKB36" s="43"/>
      <c r="AKC36" s="43"/>
      <c r="AKD36" s="43"/>
      <c r="AKE36" s="43"/>
      <c r="AKF36" s="43"/>
      <c r="AKG36" s="43"/>
      <c r="AKH36" s="43"/>
      <c r="AKI36" s="43"/>
      <c r="AKJ36" s="43"/>
      <c r="AKK36" s="43"/>
      <c r="AKL36" s="43"/>
      <c r="AKM36" s="43"/>
      <c r="AKN36" s="43"/>
      <c r="AKO36" s="43"/>
      <c r="AKP36" s="43"/>
      <c r="AKQ36" s="43"/>
      <c r="AKR36" s="43"/>
      <c r="AKS36" s="43"/>
      <c r="AKT36" s="43"/>
      <c r="AKU36" s="43"/>
      <c r="AKV36" s="43"/>
      <c r="AKW36" s="43"/>
      <c r="AKX36" s="43"/>
      <c r="AKY36" s="43"/>
      <c r="AKZ36" s="43"/>
      <c r="ALA36" s="43"/>
      <c r="ALB36" s="43"/>
      <c r="ALC36" s="43"/>
      <c r="ALD36" s="43"/>
      <c r="ALE36" s="43"/>
      <c r="ALF36" s="43"/>
      <c r="ALG36" s="43"/>
      <c r="ALH36" s="43"/>
      <c r="ALI36" s="43"/>
      <c r="ALJ36" s="43"/>
      <c r="ALK36" s="43"/>
      <c r="ALL36" s="43"/>
      <c r="ALM36" s="43"/>
      <c r="ALN36" s="43"/>
      <c r="ALO36" s="43"/>
      <c r="ALP36" s="43"/>
      <c r="ALQ36" s="43"/>
      <c r="ALR36" s="43"/>
      <c r="ALS36" s="43"/>
      <c r="ALT36" s="43"/>
      <c r="ALU36" s="43"/>
      <c r="ALV36" s="43"/>
      <c r="ALW36" s="43"/>
      <c r="ALX36" s="43"/>
      <c r="ALY36" s="43"/>
      <c r="ALZ36" s="43"/>
      <c r="AMA36" s="43"/>
      <c r="AMB36" s="43"/>
      <c r="AMC36" s="43"/>
      <c r="AMD36" s="43"/>
      <c r="AME36" s="43"/>
      <c r="AMF36" s="43"/>
      <c r="AMG36" s="43"/>
      <c r="AMH36" s="43"/>
      <c r="AMI36" s="43"/>
      <c r="AMJ36" s="43"/>
    </row>
    <row r="37" spans="1:1024" s="35" customFormat="1" x14ac:dyDescent="0.25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  <c r="ZQ37" s="43"/>
      <c r="ZR37" s="43"/>
      <c r="ZS37" s="43"/>
      <c r="ZT37" s="43"/>
      <c r="ZU37" s="43"/>
      <c r="ZV37" s="43"/>
      <c r="ZW37" s="43"/>
      <c r="ZX37" s="43"/>
      <c r="ZY37" s="43"/>
      <c r="ZZ37" s="43"/>
      <c r="AAA37" s="43"/>
      <c r="AAB37" s="43"/>
      <c r="AAC37" s="43"/>
      <c r="AAD37" s="43"/>
      <c r="AAE37" s="43"/>
      <c r="AAF37" s="43"/>
      <c r="AAG37" s="43"/>
      <c r="AAH37" s="43"/>
      <c r="AAI37" s="43"/>
      <c r="AAJ37" s="43"/>
      <c r="AAK37" s="43"/>
      <c r="AAL37" s="43"/>
      <c r="AAM37" s="43"/>
      <c r="AAN37" s="43"/>
      <c r="AAO37" s="43"/>
      <c r="AAP37" s="43"/>
      <c r="AAQ37" s="43"/>
      <c r="AAR37" s="43"/>
      <c r="AAS37" s="43"/>
      <c r="AAT37" s="43"/>
      <c r="AAU37" s="43"/>
      <c r="AAV37" s="43"/>
      <c r="AAW37" s="43"/>
      <c r="AAX37" s="43"/>
      <c r="AAY37" s="43"/>
      <c r="AAZ37" s="43"/>
      <c r="ABA37" s="43"/>
      <c r="ABB37" s="43"/>
      <c r="ABC37" s="43"/>
      <c r="ABD37" s="43"/>
      <c r="ABE37" s="43"/>
      <c r="ABF37" s="43"/>
      <c r="ABG37" s="43"/>
      <c r="ABH37" s="43"/>
      <c r="ABI37" s="43"/>
      <c r="ABJ37" s="43"/>
      <c r="ABK37" s="43"/>
      <c r="ABL37" s="43"/>
      <c r="ABM37" s="43"/>
      <c r="ABN37" s="43"/>
      <c r="ABO37" s="43"/>
      <c r="ABP37" s="43"/>
      <c r="ABQ37" s="43"/>
      <c r="ABR37" s="43"/>
      <c r="ABS37" s="43"/>
      <c r="ABT37" s="43"/>
      <c r="ABU37" s="43"/>
      <c r="ABV37" s="43"/>
      <c r="ABW37" s="43"/>
      <c r="ABX37" s="43"/>
      <c r="ABY37" s="43"/>
      <c r="ABZ37" s="43"/>
      <c r="ACA37" s="43"/>
      <c r="ACB37" s="43"/>
      <c r="ACC37" s="43"/>
      <c r="ACD37" s="43"/>
      <c r="ACE37" s="43"/>
      <c r="ACF37" s="43"/>
      <c r="ACG37" s="43"/>
      <c r="ACH37" s="43"/>
      <c r="ACI37" s="43"/>
      <c r="ACJ37" s="43"/>
      <c r="ACK37" s="43"/>
      <c r="ACL37" s="43"/>
      <c r="ACM37" s="43"/>
      <c r="ACN37" s="43"/>
      <c r="ACO37" s="43"/>
      <c r="ACP37" s="43"/>
      <c r="ACQ37" s="43"/>
      <c r="ACR37" s="43"/>
      <c r="ACS37" s="43"/>
      <c r="ACT37" s="43"/>
      <c r="ACU37" s="43"/>
      <c r="ACV37" s="43"/>
      <c r="ACW37" s="43"/>
      <c r="ACX37" s="43"/>
      <c r="ACY37" s="43"/>
      <c r="ACZ37" s="43"/>
      <c r="ADA37" s="43"/>
      <c r="ADB37" s="43"/>
      <c r="ADC37" s="43"/>
      <c r="ADD37" s="43"/>
      <c r="ADE37" s="43"/>
      <c r="ADF37" s="43"/>
      <c r="ADG37" s="43"/>
      <c r="ADH37" s="43"/>
      <c r="ADI37" s="43"/>
      <c r="ADJ37" s="43"/>
      <c r="ADK37" s="43"/>
      <c r="ADL37" s="43"/>
      <c r="ADM37" s="43"/>
      <c r="ADN37" s="43"/>
      <c r="ADO37" s="43"/>
      <c r="ADP37" s="43"/>
      <c r="ADQ37" s="43"/>
      <c r="ADR37" s="43"/>
      <c r="ADS37" s="43"/>
      <c r="ADT37" s="43"/>
      <c r="ADU37" s="43"/>
      <c r="ADV37" s="43"/>
      <c r="ADW37" s="43"/>
      <c r="ADX37" s="43"/>
      <c r="ADY37" s="43"/>
      <c r="ADZ37" s="43"/>
      <c r="AEA37" s="43"/>
      <c r="AEB37" s="43"/>
      <c r="AEC37" s="43"/>
      <c r="AED37" s="43"/>
      <c r="AEE37" s="43"/>
      <c r="AEF37" s="43"/>
      <c r="AEG37" s="43"/>
      <c r="AEH37" s="43"/>
      <c r="AEI37" s="43"/>
      <c r="AEJ37" s="43"/>
      <c r="AEK37" s="43"/>
      <c r="AEL37" s="43"/>
      <c r="AEM37" s="43"/>
      <c r="AEN37" s="43"/>
      <c r="AEO37" s="43"/>
      <c r="AEP37" s="43"/>
      <c r="AEQ37" s="43"/>
      <c r="AER37" s="43"/>
      <c r="AES37" s="43"/>
      <c r="AET37" s="43"/>
      <c r="AEU37" s="43"/>
      <c r="AEV37" s="43"/>
      <c r="AEW37" s="43"/>
      <c r="AEX37" s="43"/>
      <c r="AEY37" s="43"/>
      <c r="AEZ37" s="43"/>
      <c r="AFA37" s="43"/>
      <c r="AFB37" s="43"/>
      <c r="AFC37" s="43"/>
      <c r="AFD37" s="43"/>
      <c r="AFE37" s="43"/>
      <c r="AFF37" s="43"/>
      <c r="AFG37" s="43"/>
      <c r="AFH37" s="43"/>
      <c r="AFI37" s="43"/>
      <c r="AFJ37" s="43"/>
      <c r="AFK37" s="43"/>
      <c r="AFL37" s="43"/>
      <c r="AFM37" s="43"/>
      <c r="AFN37" s="43"/>
      <c r="AFO37" s="43"/>
      <c r="AFP37" s="43"/>
      <c r="AFQ37" s="43"/>
      <c r="AFR37" s="43"/>
      <c r="AFS37" s="43"/>
      <c r="AFT37" s="43"/>
      <c r="AFU37" s="43"/>
      <c r="AFV37" s="43"/>
      <c r="AFW37" s="43"/>
      <c r="AFX37" s="43"/>
      <c r="AFY37" s="43"/>
      <c r="AFZ37" s="43"/>
      <c r="AGA37" s="43"/>
      <c r="AGB37" s="43"/>
      <c r="AGC37" s="43"/>
      <c r="AGD37" s="43"/>
      <c r="AGE37" s="43"/>
      <c r="AGF37" s="43"/>
      <c r="AGG37" s="43"/>
      <c r="AGH37" s="43"/>
      <c r="AGI37" s="43"/>
      <c r="AGJ37" s="43"/>
      <c r="AGK37" s="43"/>
      <c r="AGL37" s="43"/>
      <c r="AGM37" s="43"/>
      <c r="AGN37" s="43"/>
      <c r="AGO37" s="43"/>
      <c r="AGP37" s="43"/>
      <c r="AGQ37" s="43"/>
      <c r="AGR37" s="43"/>
      <c r="AGS37" s="43"/>
      <c r="AGT37" s="43"/>
      <c r="AGU37" s="43"/>
      <c r="AGV37" s="43"/>
      <c r="AGW37" s="43"/>
      <c r="AGX37" s="43"/>
      <c r="AGY37" s="43"/>
      <c r="AGZ37" s="43"/>
      <c r="AHA37" s="43"/>
      <c r="AHB37" s="43"/>
      <c r="AHC37" s="43"/>
      <c r="AHD37" s="43"/>
      <c r="AHE37" s="43"/>
      <c r="AHF37" s="43"/>
      <c r="AHG37" s="43"/>
      <c r="AHH37" s="43"/>
      <c r="AHI37" s="43"/>
      <c r="AHJ37" s="43"/>
      <c r="AHK37" s="43"/>
      <c r="AHL37" s="43"/>
      <c r="AHM37" s="43"/>
      <c r="AHN37" s="43"/>
      <c r="AHO37" s="43"/>
      <c r="AHP37" s="43"/>
      <c r="AHQ37" s="43"/>
      <c r="AHR37" s="43"/>
      <c r="AHS37" s="43"/>
      <c r="AHT37" s="43"/>
      <c r="AHU37" s="43"/>
      <c r="AHV37" s="43"/>
      <c r="AHW37" s="43"/>
      <c r="AHX37" s="43"/>
      <c r="AHY37" s="43"/>
      <c r="AHZ37" s="43"/>
      <c r="AIA37" s="43"/>
      <c r="AIB37" s="43"/>
      <c r="AIC37" s="43"/>
      <c r="AID37" s="43"/>
      <c r="AIE37" s="43"/>
      <c r="AIF37" s="43"/>
      <c r="AIG37" s="43"/>
      <c r="AIH37" s="43"/>
      <c r="AII37" s="43"/>
      <c r="AIJ37" s="43"/>
      <c r="AIK37" s="43"/>
      <c r="AIL37" s="43"/>
      <c r="AIM37" s="43"/>
      <c r="AIN37" s="43"/>
      <c r="AIO37" s="43"/>
      <c r="AIP37" s="43"/>
      <c r="AIQ37" s="43"/>
      <c r="AIR37" s="43"/>
      <c r="AIS37" s="43"/>
      <c r="AIT37" s="43"/>
      <c r="AIU37" s="43"/>
      <c r="AIV37" s="43"/>
      <c r="AIW37" s="43"/>
      <c r="AIX37" s="43"/>
      <c r="AIY37" s="43"/>
      <c r="AIZ37" s="43"/>
      <c r="AJA37" s="43"/>
      <c r="AJB37" s="43"/>
      <c r="AJC37" s="43"/>
      <c r="AJD37" s="43"/>
      <c r="AJE37" s="43"/>
      <c r="AJF37" s="43"/>
      <c r="AJG37" s="43"/>
      <c r="AJH37" s="43"/>
      <c r="AJI37" s="43"/>
      <c r="AJJ37" s="43"/>
      <c r="AJK37" s="43"/>
      <c r="AJL37" s="43"/>
      <c r="AJM37" s="43"/>
      <c r="AJN37" s="43"/>
      <c r="AJO37" s="43"/>
      <c r="AJP37" s="43"/>
      <c r="AJQ37" s="43"/>
      <c r="AJR37" s="43"/>
      <c r="AJS37" s="43"/>
      <c r="AJT37" s="43"/>
      <c r="AJU37" s="43"/>
      <c r="AJV37" s="43"/>
      <c r="AJW37" s="43"/>
      <c r="AJX37" s="43"/>
      <c r="AJY37" s="43"/>
      <c r="AJZ37" s="43"/>
      <c r="AKA37" s="43"/>
      <c r="AKB37" s="43"/>
      <c r="AKC37" s="43"/>
      <c r="AKD37" s="43"/>
      <c r="AKE37" s="43"/>
      <c r="AKF37" s="43"/>
      <c r="AKG37" s="43"/>
      <c r="AKH37" s="43"/>
      <c r="AKI37" s="43"/>
      <c r="AKJ37" s="43"/>
      <c r="AKK37" s="43"/>
      <c r="AKL37" s="43"/>
      <c r="AKM37" s="43"/>
      <c r="AKN37" s="43"/>
      <c r="AKO37" s="43"/>
      <c r="AKP37" s="43"/>
      <c r="AKQ37" s="43"/>
      <c r="AKR37" s="43"/>
      <c r="AKS37" s="43"/>
      <c r="AKT37" s="43"/>
      <c r="AKU37" s="43"/>
      <c r="AKV37" s="43"/>
      <c r="AKW37" s="43"/>
      <c r="AKX37" s="43"/>
      <c r="AKY37" s="43"/>
      <c r="AKZ37" s="43"/>
      <c r="ALA37" s="43"/>
      <c r="ALB37" s="43"/>
      <c r="ALC37" s="43"/>
      <c r="ALD37" s="43"/>
      <c r="ALE37" s="43"/>
      <c r="ALF37" s="43"/>
      <c r="ALG37" s="43"/>
      <c r="ALH37" s="43"/>
      <c r="ALI37" s="43"/>
      <c r="ALJ37" s="43"/>
      <c r="ALK37" s="43"/>
      <c r="ALL37" s="43"/>
      <c r="ALM37" s="43"/>
      <c r="ALN37" s="43"/>
      <c r="ALO37" s="43"/>
      <c r="ALP37" s="43"/>
      <c r="ALQ37" s="43"/>
      <c r="ALR37" s="43"/>
      <c r="ALS37" s="43"/>
      <c r="ALT37" s="43"/>
      <c r="ALU37" s="43"/>
      <c r="ALV37" s="43"/>
      <c r="ALW37" s="43"/>
      <c r="ALX37" s="43"/>
      <c r="ALY37" s="43"/>
      <c r="ALZ37" s="43"/>
      <c r="AMA37" s="43"/>
      <c r="AMB37" s="43"/>
      <c r="AMC37" s="43"/>
      <c r="AMD37" s="43"/>
      <c r="AME37" s="43"/>
      <c r="AMF37" s="43"/>
      <c r="AMG37" s="43"/>
      <c r="AMH37" s="43"/>
      <c r="AMI37" s="43"/>
      <c r="AMJ37" s="43"/>
    </row>
    <row r="38" spans="1:1024" s="35" customFormat="1" x14ac:dyDescent="0.2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  <c r="ZQ38" s="43"/>
      <c r="ZR38" s="43"/>
      <c r="ZS38" s="43"/>
      <c r="ZT38" s="43"/>
      <c r="ZU38" s="43"/>
      <c r="ZV38" s="43"/>
      <c r="ZW38" s="43"/>
      <c r="ZX38" s="43"/>
      <c r="ZY38" s="43"/>
      <c r="ZZ38" s="43"/>
      <c r="AAA38" s="43"/>
      <c r="AAB38" s="43"/>
      <c r="AAC38" s="43"/>
      <c r="AAD38" s="43"/>
      <c r="AAE38" s="43"/>
      <c r="AAF38" s="43"/>
      <c r="AAG38" s="43"/>
      <c r="AAH38" s="43"/>
      <c r="AAI38" s="43"/>
      <c r="AAJ38" s="43"/>
      <c r="AAK38" s="43"/>
      <c r="AAL38" s="43"/>
      <c r="AAM38" s="43"/>
      <c r="AAN38" s="43"/>
      <c r="AAO38" s="43"/>
      <c r="AAP38" s="43"/>
      <c r="AAQ38" s="43"/>
      <c r="AAR38" s="43"/>
      <c r="AAS38" s="43"/>
      <c r="AAT38" s="43"/>
      <c r="AAU38" s="43"/>
      <c r="AAV38" s="43"/>
      <c r="AAW38" s="43"/>
      <c r="AAX38" s="43"/>
      <c r="AAY38" s="43"/>
      <c r="AAZ38" s="43"/>
      <c r="ABA38" s="43"/>
      <c r="ABB38" s="43"/>
      <c r="ABC38" s="43"/>
      <c r="ABD38" s="43"/>
      <c r="ABE38" s="43"/>
      <c r="ABF38" s="43"/>
      <c r="ABG38" s="43"/>
      <c r="ABH38" s="43"/>
      <c r="ABI38" s="43"/>
      <c r="ABJ38" s="43"/>
      <c r="ABK38" s="43"/>
      <c r="ABL38" s="43"/>
      <c r="ABM38" s="43"/>
      <c r="ABN38" s="43"/>
      <c r="ABO38" s="43"/>
      <c r="ABP38" s="43"/>
      <c r="ABQ38" s="43"/>
      <c r="ABR38" s="43"/>
      <c r="ABS38" s="43"/>
      <c r="ABT38" s="43"/>
      <c r="ABU38" s="43"/>
      <c r="ABV38" s="43"/>
      <c r="ABW38" s="43"/>
      <c r="ABX38" s="43"/>
      <c r="ABY38" s="43"/>
      <c r="ABZ38" s="43"/>
      <c r="ACA38" s="43"/>
      <c r="ACB38" s="43"/>
      <c r="ACC38" s="43"/>
      <c r="ACD38" s="43"/>
      <c r="ACE38" s="43"/>
      <c r="ACF38" s="43"/>
      <c r="ACG38" s="43"/>
      <c r="ACH38" s="43"/>
      <c r="ACI38" s="43"/>
      <c r="ACJ38" s="43"/>
      <c r="ACK38" s="43"/>
      <c r="ACL38" s="43"/>
      <c r="ACM38" s="43"/>
      <c r="ACN38" s="43"/>
      <c r="ACO38" s="43"/>
      <c r="ACP38" s="43"/>
      <c r="ACQ38" s="43"/>
      <c r="ACR38" s="43"/>
      <c r="ACS38" s="43"/>
      <c r="ACT38" s="43"/>
      <c r="ACU38" s="43"/>
      <c r="ACV38" s="43"/>
      <c r="ACW38" s="43"/>
      <c r="ACX38" s="43"/>
      <c r="ACY38" s="43"/>
      <c r="ACZ38" s="43"/>
      <c r="ADA38" s="43"/>
      <c r="ADB38" s="43"/>
      <c r="ADC38" s="43"/>
      <c r="ADD38" s="43"/>
      <c r="ADE38" s="43"/>
      <c r="ADF38" s="43"/>
      <c r="ADG38" s="43"/>
      <c r="ADH38" s="43"/>
      <c r="ADI38" s="43"/>
      <c r="ADJ38" s="43"/>
      <c r="ADK38" s="43"/>
      <c r="ADL38" s="43"/>
      <c r="ADM38" s="43"/>
      <c r="ADN38" s="43"/>
      <c r="ADO38" s="43"/>
      <c r="ADP38" s="43"/>
      <c r="ADQ38" s="43"/>
      <c r="ADR38" s="43"/>
      <c r="ADS38" s="43"/>
      <c r="ADT38" s="43"/>
      <c r="ADU38" s="43"/>
      <c r="ADV38" s="43"/>
      <c r="ADW38" s="43"/>
      <c r="ADX38" s="43"/>
      <c r="ADY38" s="43"/>
      <c r="ADZ38" s="43"/>
      <c r="AEA38" s="43"/>
      <c r="AEB38" s="43"/>
      <c r="AEC38" s="43"/>
      <c r="AED38" s="43"/>
      <c r="AEE38" s="43"/>
      <c r="AEF38" s="43"/>
      <c r="AEG38" s="43"/>
      <c r="AEH38" s="43"/>
      <c r="AEI38" s="43"/>
      <c r="AEJ38" s="43"/>
      <c r="AEK38" s="43"/>
      <c r="AEL38" s="43"/>
      <c r="AEM38" s="43"/>
      <c r="AEN38" s="43"/>
      <c r="AEO38" s="43"/>
      <c r="AEP38" s="43"/>
      <c r="AEQ38" s="43"/>
      <c r="AER38" s="43"/>
      <c r="AES38" s="43"/>
      <c r="AET38" s="43"/>
      <c r="AEU38" s="43"/>
      <c r="AEV38" s="43"/>
      <c r="AEW38" s="43"/>
      <c r="AEX38" s="43"/>
      <c r="AEY38" s="43"/>
      <c r="AEZ38" s="43"/>
      <c r="AFA38" s="43"/>
      <c r="AFB38" s="43"/>
      <c r="AFC38" s="43"/>
      <c r="AFD38" s="43"/>
      <c r="AFE38" s="43"/>
      <c r="AFF38" s="43"/>
      <c r="AFG38" s="43"/>
      <c r="AFH38" s="43"/>
      <c r="AFI38" s="43"/>
      <c r="AFJ38" s="43"/>
      <c r="AFK38" s="43"/>
      <c r="AFL38" s="43"/>
      <c r="AFM38" s="43"/>
      <c r="AFN38" s="43"/>
      <c r="AFO38" s="43"/>
      <c r="AFP38" s="43"/>
      <c r="AFQ38" s="43"/>
      <c r="AFR38" s="43"/>
      <c r="AFS38" s="43"/>
      <c r="AFT38" s="43"/>
      <c r="AFU38" s="43"/>
      <c r="AFV38" s="43"/>
      <c r="AFW38" s="43"/>
      <c r="AFX38" s="43"/>
      <c r="AFY38" s="43"/>
      <c r="AFZ38" s="43"/>
      <c r="AGA38" s="43"/>
      <c r="AGB38" s="43"/>
      <c r="AGC38" s="43"/>
      <c r="AGD38" s="43"/>
      <c r="AGE38" s="43"/>
      <c r="AGF38" s="43"/>
      <c r="AGG38" s="43"/>
      <c r="AGH38" s="43"/>
      <c r="AGI38" s="43"/>
      <c r="AGJ38" s="43"/>
      <c r="AGK38" s="43"/>
      <c r="AGL38" s="43"/>
      <c r="AGM38" s="43"/>
      <c r="AGN38" s="43"/>
      <c r="AGO38" s="43"/>
      <c r="AGP38" s="43"/>
      <c r="AGQ38" s="43"/>
      <c r="AGR38" s="43"/>
      <c r="AGS38" s="43"/>
      <c r="AGT38" s="43"/>
      <c r="AGU38" s="43"/>
      <c r="AGV38" s="43"/>
      <c r="AGW38" s="43"/>
      <c r="AGX38" s="43"/>
      <c r="AGY38" s="43"/>
      <c r="AGZ38" s="43"/>
      <c r="AHA38" s="43"/>
      <c r="AHB38" s="43"/>
      <c r="AHC38" s="43"/>
      <c r="AHD38" s="43"/>
      <c r="AHE38" s="43"/>
      <c r="AHF38" s="43"/>
      <c r="AHG38" s="43"/>
      <c r="AHH38" s="43"/>
      <c r="AHI38" s="43"/>
      <c r="AHJ38" s="43"/>
      <c r="AHK38" s="43"/>
      <c r="AHL38" s="43"/>
      <c r="AHM38" s="43"/>
      <c r="AHN38" s="43"/>
      <c r="AHO38" s="43"/>
      <c r="AHP38" s="43"/>
      <c r="AHQ38" s="43"/>
      <c r="AHR38" s="43"/>
      <c r="AHS38" s="43"/>
      <c r="AHT38" s="43"/>
      <c r="AHU38" s="43"/>
      <c r="AHV38" s="43"/>
      <c r="AHW38" s="43"/>
      <c r="AHX38" s="43"/>
      <c r="AHY38" s="43"/>
      <c r="AHZ38" s="43"/>
      <c r="AIA38" s="43"/>
      <c r="AIB38" s="43"/>
      <c r="AIC38" s="43"/>
      <c r="AID38" s="43"/>
      <c r="AIE38" s="43"/>
      <c r="AIF38" s="43"/>
      <c r="AIG38" s="43"/>
      <c r="AIH38" s="43"/>
      <c r="AII38" s="43"/>
      <c r="AIJ38" s="43"/>
      <c r="AIK38" s="43"/>
      <c r="AIL38" s="43"/>
      <c r="AIM38" s="43"/>
      <c r="AIN38" s="43"/>
      <c r="AIO38" s="43"/>
      <c r="AIP38" s="43"/>
      <c r="AIQ38" s="43"/>
      <c r="AIR38" s="43"/>
      <c r="AIS38" s="43"/>
      <c r="AIT38" s="43"/>
      <c r="AIU38" s="43"/>
      <c r="AIV38" s="43"/>
      <c r="AIW38" s="43"/>
      <c r="AIX38" s="43"/>
      <c r="AIY38" s="43"/>
      <c r="AIZ38" s="43"/>
      <c r="AJA38" s="43"/>
      <c r="AJB38" s="43"/>
      <c r="AJC38" s="43"/>
      <c r="AJD38" s="43"/>
      <c r="AJE38" s="43"/>
      <c r="AJF38" s="43"/>
      <c r="AJG38" s="43"/>
      <c r="AJH38" s="43"/>
      <c r="AJI38" s="43"/>
      <c r="AJJ38" s="43"/>
      <c r="AJK38" s="43"/>
      <c r="AJL38" s="43"/>
      <c r="AJM38" s="43"/>
      <c r="AJN38" s="43"/>
      <c r="AJO38" s="43"/>
      <c r="AJP38" s="43"/>
      <c r="AJQ38" s="43"/>
      <c r="AJR38" s="43"/>
      <c r="AJS38" s="43"/>
      <c r="AJT38" s="43"/>
      <c r="AJU38" s="43"/>
      <c r="AJV38" s="43"/>
      <c r="AJW38" s="43"/>
      <c r="AJX38" s="43"/>
      <c r="AJY38" s="43"/>
      <c r="AJZ38" s="43"/>
      <c r="AKA38" s="43"/>
      <c r="AKB38" s="43"/>
      <c r="AKC38" s="43"/>
      <c r="AKD38" s="43"/>
      <c r="AKE38" s="43"/>
      <c r="AKF38" s="43"/>
      <c r="AKG38" s="43"/>
      <c r="AKH38" s="43"/>
      <c r="AKI38" s="43"/>
      <c r="AKJ38" s="43"/>
      <c r="AKK38" s="43"/>
      <c r="AKL38" s="43"/>
      <c r="AKM38" s="43"/>
      <c r="AKN38" s="43"/>
      <c r="AKO38" s="43"/>
      <c r="AKP38" s="43"/>
      <c r="AKQ38" s="43"/>
      <c r="AKR38" s="43"/>
      <c r="AKS38" s="43"/>
      <c r="AKT38" s="43"/>
      <c r="AKU38" s="43"/>
      <c r="AKV38" s="43"/>
      <c r="AKW38" s="43"/>
      <c r="AKX38" s="43"/>
      <c r="AKY38" s="43"/>
      <c r="AKZ38" s="43"/>
      <c r="ALA38" s="43"/>
      <c r="ALB38" s="43"/>
      <c r="ALC38" s="43"/>
      <c r="ALD38" s="43"/>
      <c r="ALE38" s="43"/>
      <c r="ALF38" s="43"/>
      <c r="ALG38" s="43"/>
      <c r="ALH38" s="43"/>
      <c r="ALI38" s="43"/>
      <c r="ALJ38" s="43"/>
      <c r="ALK38" s="43"/>
      <c r="ALL38" s="43"/>
      <c r="ALM38" s="43"/>
      <c r="ALN38" s="43"/>
      <c r="ALO38" s="43"/>
      <c r="ALP38" s="43"/>
      <c r="ALQ38" s="43"/>
      <c r="ALR38" s="43"/>
      <c r="ALS38" s="43"/>
      <c r="ALT38" s="43"/>
      <c r="ALU38" s="43"/>
      <c r="ALV38" s="43"/>
      <c r="ALW38" s="43"/>
      <c r="ALX38" s="43"/>
      <c r="ALY38" s="43"/>
      <c r="ALZ38" s="43"/>
      <c r="AMA38" s="43"/>
      <c r="AMB38" s="43"/>
      <c r="AMC38" s="43"/>
      <c r="AMD38" s="43"/>
      <c r="AME38" s="43"/>
      <c r="AMF38" s="43"/>
      <c r="AMG38" s="43"/>
      <c r="AMH38" s="43"/>
      <c r="AMI38" s="43"/>
      <c r="AMJ38" s="43"/>
    </row>
    <row r="39" spans="1:1024" s="35" customFormat="1" x14ac:dyDescent="0.25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  <c r="IW39" s="43"/>
      <c r="IX39" s="43"/>
      <c r="IY39" s="43"/>
      <c r="IZ39" s="43"/>
      <c r="JA39" s="43"/>
      <c r="JB39" s="43"/>
      <c r="JC39" s="43"/>
      <c r="JD39" s="43"/>
      <c r="JE39" s="43"/>
      <c r="JF39" s="43"/>
      <c r="JG39" s="43"/>
      <c r="JH39" s="43"/>
      <c r="JI39" s="43"/>
      <c r="JJ39" s="43"/>
      <c r="JK39" s="43"/>
      <c r="JL39" s="43"/>
      <c r="JM39" s="43"/>
      <c r="JN39" s="43"/>
      <c r="JO39" s="43"/>
      <c r="JP39" s="43"/>
      <c r="JQ39" s="43"/>
      <c r="JR39" s="43"/>
      <c r="JS39" s="43"/>
      <c r="JT39" s="43"/>
      <c r="JU39" s="43"/>
      <c r="JV39" s="43"/>
      <c r="JW39" s="43"/>
      <c r="JX39" s="43"/>
      <c r="JY39" s="43"/>
      <c r="JZ39" s="43"/>
      <c r="KA39" s="43"/>
      <c r="KB39" s="43"/>
      <c r="KC39" s="43"/>
      <c r="KD39" s="43"/>
      <c r="KE39" s="43"/>
      <c r="KF39" s="43"/>
      <c r="KG39" s="43"/>
      <c r="KH39" s="43"/>
      <c r="KI39" s="43"/>
      <c r="KJ39" s="43"/>
      <c r="KK39" s="43"/>
      <c r="KL39" s="43"/>
      <c r="KM39" s="43"/>
      <c r="KN39" s="43"/>
      <c r="KO39" s="43"/>
      <c r="KP39" s="43"/>
      <c r="KQ39" s="43"/>
      <c r="KR39" s="43"/>
      <c r="KS39" s="43"/>
      <c r="KT39" s="43"/>
      <c r="KU39" s="43"/>
      <c r="KV39" s="43"/>
      <c r="KW39" s="43"/>
      <c r="KX39" s="43"/>
      <c r="KY39" s="43"/>
      <c r="KZ39" s="43"/>
      <c r="LA39" s="43"/>
      <c r="LB39" s="43"/>
      <c r="LC39" s="43"/>
      <c r="LD39" s="43"/>
      <c r="LE39" s="43"/>
      <c r="LF39" s="43"/>
      <c r="LG39" s="43"/>
      <c r="LH39" s="43"/>
      <c r="LI39" s="43"/>
      <c r="LJ39" s="43"/>
      <c r="LK39" s="43"/>
      <c r="LL39" s="43"/>
      <c r="LM39" s="43"/>
      <c r="LN39" s="43"/>
      <c r="LO39" s="43"/>
      <c r="LP39" s="43"/>
      <c r="LQ39" s="43"/>
      <c r="LR39" s="43"/>
      <c r="LS39" s="43"/>
      <c r="LT39" s="43"/>
      <c r="LU39" s="43"/>
      <c r="LV39" s="43"/>
      <c r="LW39" s="43"/>
      <c r="LX39" s="43"/>
      <c r="LY39" s="43"/>
      <c r="LZ39" s="43"/>
      <c r="MA39" s="43"/>
      <c r="MB39" s="43"/>
      <c r="MC39" s="43"/>
      <c r="MD39" s="43"/>
      <c r="ME39" s="43"/>
      <c r="MF39" s="43"/>
      <c r="MG39" s="43"/>
      <c r="MH39" s="43"/>
      <c r="MI39" s="43"/>
      <c r="MJ39" s="43"/>
      <c r="MK39" s="43"/>
      <c r="ML39" s="43"/>
      <c r="MM39" s="43"/>
      <c r="MN39" s="43"/>
      <c r="MO39" s="43"/>
      <c r="MP39" s="43"/>
      <c r="MQ39" s="43"/>
      <c r="MR39" s="43"/>
      <c r="MS39" s="43"/>
      <c r="MT39" s="43"/>
      <c r="MU39" s="43"/>
      <c r="MV39" s="43"/>
      <c r="MW39" s="43"/>
      <c r="MX39" s="43"/>
      <c r="MY39" s="43"/>
      <c r="MZ39" s="43"/>
      <c r="NA39" s="43"/>
      <c r="NB39" s="43"/>
      <c r="NC39" s="43"/>
      <c r="ND39" s="43"/>
      <c r="NE39" s="43"/>
      <c r="NF39" s="43"/>
      <c r="NG39" s="43"/>
      <c r="NH39" s="43"/>
      <c r="NI39" s="43"/>
      <c r="NJ39" s="43"/>
      <c r="NK39" s="43"/>
      <c r="NL39" s="43"/>
      <c r="NM39" s="43"/>
      <c r="NN39" s="43"/>
      <c r="NO39" s="43"/>
      <c r="NP39" s="43"/>
      <c r="NQ39" s="43"/>
      <c r="NR39" s="43"/>
      <c r="NS39" s="43"/>
      <c r="NT39" s="43"/>
      <c r="NU39" s="43"/>
      <c r="NV39" s="43"/>
      <c r="NW39" s="43"/>
      <c r="NX39" s="43"/>
      <c r="NY39" s="43"/>
      <c r="NZ39" s="43"/>
      <c r="OA39" s="43"/>
      <c r="OB39" s="43"/>
      <c r="OC39" s="43"/>
      <c r="OD39" s="43"/>
      <c r="OE39" s="43"/>
      <c r="OF39" s="43"/>
      <c r="OG39" s="43"/>
      <c r="OH39" s="43"/>
      <c r="OI39" s="43"/>
      <c r="OJ39" s="43"/>
      <c r="OK39" s="43"/>
      <c r="OL39" s="43"/>
      <c r="OM39" s="43"/>
      <c r="ON39" s="43"/>
      <c r="OO39" s="43"/>
      <c r="OP39" s="43"/>
      <c r="OQ39" s="43"/>
      <c r="OR39" s="43"/>
      <c r="OS39" s="43"/>
      <c r="OT39" s="43"/>
      <c r="OU39" s="43"/>
      <c r="OV39" s="43"/>
      <c r="OW39" s="43"/>
      <c r="OX39" s="43"/>
      <c r="OY39" s="43"/>
      <c r="OZ39" s="43"/>
      <c r="PA39" s="43"/>
      <c r="PB39" s="43"/>
      <c r="PC39" s="43"/>
      <c r="PD39" s="43"/>
      <c r="PE39" s="43"/>
      <c r="PF39" s="43"/>
      <c r="PG39" s="43"/>
      <c r="PH39" s="43"/>
      <c r="PI39" s="43"/>
      <c r="PJ39" s="43"/>
      <c r="PK39" s="43"/>
      <c r="PL39" s="43"/>
      <c r="PM39" s="43"/>
      <c r="PN39" s="43"/>
      <c r="PO39" s="43"/>
      <c r="PP39" s="43"/>
      <c r="PQ39" s="43"/>
      <c r="PR39" s="43"/>
      <c r="PS39" s="43"/>
      <c r="PT39" s="43"/>
      <c r="PU39" s="43"/>
      <c r="PV39" s="43"/>
      <c r="PW39" s="43"/>
      <c r="PX39" s="43"/>
      <c r="PY39" s="43"/>
      <c r="PZ39" s="43"/>
      <c r="QA39" s="43"/>
      <c r="QB39" s="43"/>
      <c r="QC39" s="43"/>
      <c r="QD39" s="43"/>
      <c r="QE39" s="43"/>
      <c r="QF39" s="43"/>
      <c r="QG39" s="43"/>
      <c r="QH39" s="43"/>
      <c r="QI39" s="43"/>
      <c r="QJ39" s="43"/>
      <c r="QK39" s="43"/>
      <c r="QL39" s="43"/>
      <c r="QM39" s="43"/>
      <c r="QN39" s="43"/>
      <c r="QO39" s="43"/>
      <c r="QP39" s="43"/>
      <c r="QQ39" s="43"/>
      <c r="QR39" s="43"/>
      <c r="QS39" s="43"/>
      <c r="QT39" s="43"/>
      <c r="QU39" s="43"/>
      <c r="QV39" s="43"/>
      <c r="QW39" s="43"/>
      <c r="QX39" s="43"/>
      <c r="QY39" s="43"/>
      <c r="QZ39" s="43"/>
      <c r="RA39" s="43"/>
      <c r="RB39" s="43"/>
      <c r="RC39" s="43"/>
      <c r="RD39" s="43"/>
      <c r="RE39" s="43"/>
      <c r="RF39" s="43"/>
      <c r="RG39" s="43"/>
      <c r="RH39" s="43"/>
      <c r="RI39" s="43"/>
      <c r="RJ39" s="43"/>
      <c r="RK39" s="43"/>
      <c r="RL39" s="43"/>
      <c r="RM39" s="43"/>
      <c r="RN39" s="43"/>
      <c r="RO39" s="43"/>
      <c r="RP39" s="43"/>
      <c r="RQ39" s="43"/>
      <c r="RR39" s="43"/>
      <c r="RS39" s="43"/>
      <c r="RT39" s="43"/>
      <c r="RU39" s="43"/>
      <c r="RV39" s="43"/>
      <c r="RW39" s="43"/>
      <c r="RX39" s="43"/>
      <c r="RY39" s="43"/>
      <c r="RZ39" s="43"/>
      <c r="SA39" s="43"/>
      <c r="SB39" s="43"/>
      <c r="SC39" s="43"/>
      <c r="SD39" s="43"/>
      <c r="SE39" s="43"/>
      <c r="SF39" s="43"/>
      <c r="SG39" s="43"/>
      <c r="SH39" s="43"/>
      <c r="SI39" s="43"/>
      <c r="SJ39" s="43"/>
      <c r="SK39" s="43"/>
      <c r="SL39" s="43"/>
      <c r="SM39" s="43"/>
      <c r="SN39" s="43"/>
      <c r="SO39" s="43"/>
      <c r="SP39" s="43"/>
      <c r="SQ39" s="43"/>
      <c r="SR39" s="43"/>
      <c r="SS39" s="43"/>
      <c r="ST39" s="43"/>
      <c r="SU39" s="43"/>
      <c r="SV39" s="43"/>
      <c r="SW39" s="43"/>
      <c r="SX39" s="43"/>
      <c r="SY39" s="43"/>
      <c r="SZ39" s="43"/>
      <c r="TA39" s="43"/>
      <c r="TB39" s="43"/>
      <c r="TC39" s="43"/>
      <c r="TD39" s="43"/>
      <c r="TE39" s="43"/>
      <c r="TF39" s="43"/>
      <c r="TG39" s="43"/>
      <c r="TH39" s="43"/>
      <c r="TI39" s="43"/>
      <c r="TJ39" s="43"/>
      <c r="TK39" s="43"/>
      <c r="TL39" s="43"/>
      <c r="TM39" s="43"/>
      <c r="TN39" s="43"/>
      <c r="TO39" s="43"/>
      <c r="TP39" s="43"/>
      <c r="TQ39" s="43"/>
      <c r="TR39" s="43"/>
      <c r="TS39" s="43"/>
      <c r="TT39" s="43"/>
      <c r="TU39" s="43"/>
      <c r="TV39" s="43"/>
      <c r="TW39" s="43"/>
      <c r="TX39" s="43"/>
      <c r="TY39" s="43"/>
      <c r="TZ39" s="43"/>
      <c r="UA39" s="43"/>
      <c r="UB39" s="43"/>
      <c r="UC39" s="43"/>
      <c r="UD39" s="43"/>
      <c r="UE39" s="43"/>
      <c r="UF39" s="43"/>
      <c r="UG39" s="43"/>
      <c r="UH39" s="43"/>
      <c r="UI39" s="43"/>
      <c r="UJ39" s="43"/>
      <c r="UK39" s="43"/>
      <c r="UL39" s="43"/>
      <c r="UM39" s="43"/>
      <c r="UN39" s="43"/>
      <c r="UO39" s="43"/>
      <c r="UP39" s="43"/>
      <c r="UQ39" s="43"/>
      <c r="UR39" s="43"/>
      <c r="US39" s="43"/>
      <c r="UT39" s="43"/>
      <c r="UU39" s="43"/>
      <c r="UV39" s="43"/>
      <c r="UW39" s="43"/>
      <c r="UX39" s="43"/>
      <c r="UY39" s="43"/>
      <c r="UZ39" s="43"/>
      <c r="VA39" s="43"/>
      <c r="VB39" s="43"/>
      <c r="VC39" s="43"/>
      <c r="VD39" s="43"/>
      <c r="VE39" s="43"/>
      <c r="VF39" s="43"/>
      <c r="VG39" s="43"/>
      <c r="VH39" s="43"/>
      <c r="VI39" s="43"/>
      <c r="VJ39" s="43"/>
      <c r="VK39" s="43"/>
      <c r="VL39" s="43"/>
      <c r="VM39" s="43"/>
      <c r="VN39" s="43"/>
      <c r="VO39" s="43"/>
      <c r="VP39" s="43"/>
      <c r="VQ39" s="43"/>
      <c r="VR39" s="43"/>
      <c r="VS39" s="43"/>
      <c r="VT39" s="43"/>
      <c r="VU39" s="43"/>
      <c r="VV39" s="43"/>
      <c r="VW39" s="43"/>
      <c r="VX39" s="43"/>
      <c r="VY39" s="43"/>
      <c r="VZ39" s="43"/>
      <c r="WA39" s="43"/>
      <c r="WB39" s="43"/>
      <c r="WC39" s="43"/>
      <c r="WD39" s="43"/>
      <c r="WE39" s="43"/>
      <c r="WF39" s="43"/>
      <c r="WG39" s="43"/>
      <c r="WH39" s="43"/>
      <c r="WI39" s="43"/>
      <c r="WJ39" s="43"/>
      <c r="WK39" s="43"/>
      <c r="WL39" s="43"/>
      <c r="WM39" s="43"/>
      <c r="WN39" s="43"/>
      <c r="WO39" s="43"/>
      <c r="WP39" s="43"/>
      <c r="WQ39" s="43"/>
      <c r="WR39" s="43"/>
      <c r="WS39" s="43"/>
      <c r="WT39" s="43"/>
      <c r="WU39" s="43"/>
      <c r="WV39" s="43"/>
      <c r="WW39" s="43"/>
      <c r="WX39" s="43"/>
      <c r="WY39" s="43"/>
      <c r="WZ39" s="43"/>
      <c r="XA39" s="43"/>
      <c r="XB39" s="43"/>
      <c r="XC39" s="43"/>
      <c r="XD39" s="43"/>
      <c r="XE39" s="43"/>
      <c r="XF39" s="43"/>
      <c r="XG39" s="43"/>
      <c r="XH39" s="43"/>
      <c r="XI39" s="43"/>
      <c r="XJ39" s="43"/>
      <c r="XK39" s="43"/>
      <c r="XL39" s="43"/>
      <c r="XM39" s="43"/>
      <c r="XN39" s="43"/>
      <c r="XO39" s="43"/>
      <c r="XP39" s="43"/>
      <c r="XQ39" s="43"/>
      <c r="XR39" s="43"/>
      <c r="XS39" s="43"/>
      <c r="XT39" s="43"/>
      <c r="XU39" s="43"/>
      <c r="XV39" s="43"/>
      <c r="XW39" s="43"/>
      <c r="XX39" s="43"/>
      <c r="XY39" s="43"/>
      <c r="XZ39" s="43"/>
      <c r="YA39" s="43"/>
      <c r="YB39" s="43"/>
      <c r="YC39" s="43"/>
      <c r="YD39" s="43"/>
      <c r="YE39" s="43"/>
      <c r="YF39" s="43"/>
      <c r="YG39" s="43"/>
      <c r="YH39" s="43"/>
      <c r="YI39" s="43"/>
      <c r="YJ39" s="43"/>
      <c r="YK39" s="43"/>
      <c r="YL39" s="43"/>
      <c r="YM39" s="43"/>
      <c r="YN39" s="43"/>
      <c r="YO39" s="43"/>
      <c r="YP39" s="43"/>
      <c r="YQ39" s="43"/>
      <c r="YR39" s="43"/>
      <c r="YS39" s="43"/>
      <c r="YT39" s="43"/>
      <c r="YU39" s="43"/>
      <c r="YV39" s="43"/>
      <c r="YW39" s="43"/>
      <c r="YX39" s="43"/>
      <c r="YY39" s="43"/>
      <c r="YZ39" s="43"/>
      <c r="ZA39" s="43"/>
      <c r="ZB39" s="43"/>
      <c r="ZC39" s="43"/>
      <c r="ZD39" s="43"/>
      <c r="ZE39" s="43"/>
      <c r="ZF39" s="43"/>
      <c r="ZG39" s="43"/>
      <c r="ZH39" s="43"/>
      <c r="ZI39" s="43"/>
      <c r="ZJ39" s="43"/>
      <c r="ZK39" s="43"/>
      <c r="ZL39" s="43"/>
      <c r="ZM39" s="43"/>
      <c r="ZN39" s="43"/>
      <c r="ZO39" s="43"/>
      <c r="ZP39" s="43"/>
      <c r="ZQ39" s="43"/>
      <c r="ZR39" s="43"/>
      <c r="ZS39" s="43"/>
      <c r="ZT39" s="43"/>
      <c r="ZU39" s="43"/>
      <c r="ZV39" s="43"/>
      <c r="ZW39" s="43"/>
      <c r="ZX39" s="43"/>
      <c r="ZY39" s="43"/>
      <c r="ZZ39" s="43"/>
      <c r="AAA39" s="43"/>
      <c r="AAB39" s="43"/>
      <c r="AAC39" s="43"/>
      <c r="AAD39" s="43"/>
      <c r="AAE39" s="43"/>
      <c r="AAF39" s="43"/>
      <c r="AAG39" s="43"/>
      <c r="AAH39" s="43"/>
      <c r="AAI39" s="43"/>
      <c r="AAJ39" s="43"/>
      <c r="AAK39" s="43"/>
      <c r="AAL39" s="43"/>
      <c r="AAM39" s="43"/>
      <c r="AAN39" s="43"/>
      <c r="AAO39" s="43"/>
      <c r="AAP39" s="43"/>
      <c r="AAQ39" s="43"/>
      <c r="AAR39" s="43"/>
      <c r="AAS39" s="43"/>
      <c r="AAT39" s="43"/>
      <c r="AAU39" s="43"/>
      <c r="AAV39" s="43"/>
      <c r="AAW39" s="43"/>
      <c r="AAX39" s="43"/>
      <c r="AAY39" s="43"/>
      <c r="AAZ39" s="43"/>
      <c r="ABA39" s="43"/>
      <c r="ABB39" s="43"/>
      <c r="ABC39" s="43"/>
      <c r="ABD39" s="43"/>
      <c r="ABE39" s="43"/>
      <c r="ABF39" s="43"/>
      <c r="ABG39" s="43"/>
      <c r="ABH39" s="43"/>
      <c r="ABI39" s="43"/>
      <c r="ABJ39" s="43"/>
      <c r="ABK39" s="43"/>
      <c r="ABL39" s="43"/>
      <c r="ABM39" s="43"/>
      <c r="ABN39" s="43"/>
      <c r="ABO39" s="43"/>
      <c r="ABP39" s="43"/>
      <c r="ABQ39" s="43"/>
      <c r="ABR39" s="43"/>
      <c r="ABS39" s="43"/>
      <c r="ABT39" s="43"/>
      <c r="ABU39" s="43"/>
      <c r="ABV39" s="43"/>
      <c r="ABW39" s="43"/>
      <c r="ABX39" s="43"/>
      <c r="ABY39" s="43"/>
      <c r="ABZ39" s="43"/>
      <c r="ACA39" s="43"/>
      <c r="ACB39" s="43"/>
      <c r="ACC39" s="43"/>
      <c r="ACD39" s="43"/>
      <c r="ACE39" s="43"/>
      <c r="ACF39" s="43"/>
      <c r="ACG39" s="43"/>
      <c r="ACH39" s="43"/>
      <c r="ACI39" s="43"/>
      <c r="ACJ39" s="43"/>
      <c r="ACK39" s="43"/>
      <c r="ACL39" s="43"/>
      <c r="ACM39" s="43"/>
      <c r="ACN39" s="43"/>
      <c r="ACO39" s="43"/>
      <c r="ACP39" s="43"/>
      <c r="ACQ39" s="43"/>
      <c r="ACR39" s="43"/>
      <c r="ACS39" s="43"/>
      <c r="ACT39" s="43"/>
      <c r="ACU39" s="43"/>
      <c r="ACV39" s="43"/>
      <c r="ACW39" s="43"/>
      <c r="ACX39" s="43"/>
      <c r="ACY39" s="43"/>
      <c r="ACZ39" s="43"/>
      <c r="ADA39" s="43"/>
      <c r="ADB39" s="43"/>
      <c r="ADC39" s="43"/>
      <c r="ADD39" s="43"/>
      <c r="ADE39" s="43"/>
      <c r="ADF39" s="43"/>
      <c r="ADG39" s="43"/>
      <c r="ADH39" s="43"/>
      <c r="ADI39" s="43"/>
      <c r="ADJ39" s="43"/>
      <c r="ADK39" s="43"/>
      <c r="ADL39" s="43"/>
      <c r="ADM39" s="43"/>
      <c r="ADN39" s="43"/>
      <c r="ADO39" s="43"/>
      <c r="ADP39" s="43"/>
      <c r="ADQ39" s="43"/>
      <c r="ADR39" s="43"/>
      <c r="ADS39" s="43"/>
      <c r="ADT39" s="43"/>
      <c r="ADU39" s="43"/>
      <c r="ADV39" s="43"/>
      <c r="ADW39" s="43"/>
      <c r="ADX39" s="43"/>
      <c r="ADY39" s="43"/>
      <c r="ADZ39" s="43"/>
      <c r="AEA39" s="43"/>
      <c r="AEB39" s="43"/>
      <c r="AEC39" s="43"/>
      <c r="AED39" s="43"/>
      <c r="AEE39" s="43"/>
      <c r="AEF39" s="43"/>
      <c r="AEG39" s="43"/>
      <c r="AEH39" s="43"/>
      <c r="AEI39" s="43"/>
      <c r="AEJ39" s="43"/>
      <c r="AEK39" s="43"/>
      <c r="AEL39" s="43"/>
      <c r="AEM39" s="43"/>
      <c r="AEN39" s="43"/>
      <c r="AEO39" s="43"/>
      <c r="AEP39" s="43"/>
      <c r="AEQ39" s="43"/>
      <c r="AER39" s="43"/>
      <c r="AES39" s="43"/>
      <c r="AET39" s="43"/>
      <c r="AEU39" s="43"/>
      <c r="AEV39" s="43"/>
      <c r="AEW39" s="43"/>
      <c r="AEX39" s="43"/>
      <c r="AEY39" s="43"/>
      <c r="AEZ39" s="43"/>
      <c r="AFA39" s="43"/>
      <c r="AFB39" s="43"/>
      <c r="AFC39" s="43"/>
      <c r="AFD39" s="43"/>
      <c r="AFE39" s="43"/>
      <c r="AFF39" s="43"/>
      <c r="AFG39" s="43"/>
      <c r="AFH39" s="43"/>
      <c r="AFI39" s="43"/>
      <c r="AFJ39" s="43"/>
      <c r="AFK39" s="43"/>
      <c r="AFL39" s="43"/>
      <c r="AFM39" s="43"/>
      <c r="AFN39" s="43"/>
      <c r="AFO39" s="43"/>
      <c r="AFP39" s="43"/>
      <c r="AFQ39" s="43"/>
      <c r="AFR39" s="43"/>
      <c r="AFS39" s="43"/>
      <c r="AFT39" s="43"/>
      <c r="AFU39" s="43"/>
      <c r="AFV39" s="43"/>
      <c r="AFW39" s="43"/>
      <c r="AFX39" s="43"/>
      <c r="AFY39" s="43"/>
      <c r="AFZ39" s="43"/>
      <c r="AGA39" s="43"/>
      <c r="AGB39" s="43"/>
      <c r="AGC39" s="43"/>
      <c r="AGD39" s="43"/>
      <c r="AGE39" s="43"/>
      <c r="AGF39" s="43"/>
      <c r="AGG39" s="43"/>
      <c r="AGH39" s="43"/>
      <c r="AGI39" s="43"/>
      <c r="AGJ39" s="43"/>
      <c r="AGK39" s="43"/>
      <c r="AGL39" s="43"/>
      <c r="AGM39" s="43"/>
      <c r="AGN39" s="43"/>
      <c r="AGO39" s="43"/>
      <c r="AGP39" s="43"/>
      <c r="AGQ39" s="43"/>
      <c r="AGR39" s="43"/>
      <c r="AGS39" s="43"/>
      <c r="AGT39" s="43"/>
      <c r="AGU39" s="43"/>
      <c r="AGV39" s="43"/>
      <c r="AGW39" s="43"/>
      <c r="AGX39" s="43"/>
      <c r="AGY39" s="43"/>
      <c r="AGZ39" s="43"/>
      <c r="AHA39" s="43"/>
      <c r="AHB39" s="43"/>
      <c r="AHC39" s="43"/>
      <c r="AHD39" s="43"/>
      <c r="AHE39" s="43"/>
      <c r="AHF39" s="43"/>
      <c r="AHG39" s="43"/>
      <c r="AHH39" s="43"/>
      <c r="AHI39" s="43"/>
      <c r="AHJ39" s="43"/>
      <c r="AHK39" s="43"/>
      <c r="AHL39" s="43"/>
      <c r="AHM39" s="43"/>
      <c r="AHN39" s="43"/>
      <c r="AHO39" s="43"/>
      <c r="AHP39" s="43"/>
      <c r="AHQ39" s="43"/>
      <c r="AHR39" s="43"/>
      <c r="AHS39" s="43"/>
      <c r="AHT39" s="43"/>
      <c r="AHU39" s="43"/>
      <c r="AHV39" s="43"/>
      <c r="AHW39" s="43"/>
      <c r="AHX39" s="43"/>
      <c r="AHY39" s="43"/>
      <c r="AHZ39" s="43"/>
      <c r="AIA39" s="43"/>
      <c r="AIB39" s="43"/>
      <c r="AIC39" s="43"/>
      <c r="AID39" s="43"/>
      <c r="AIE39" s="43"/>
      <c r="AIF39" s="43"/>
      <c r="AIG39" s="43"/>
      <c r="AIH39" s="43"/>
      <c r="AII39" s="43"/>
      <c r="AIJ39" s="43"/>
      <c r="AIK39" s="43"/>
      <c r="AIL39" s="43"/>
      <c r="AIM39" s="43"/>
      <c r="AIN39" s="43"/>
      <c r="AIO39" s="43"/>
      <c r="AIP39" s="43"/>
      <c r="AIQ39" s="43"/>
      <c r="AIR39" s="43"/>
      <c r="AIS39" s="43"/>
      <c r="AIT39" s="43"/>
      <c r="AIU39" s="43"/>
      <c r="AIV39" s="43"/>
      <c r="AIW39" s="43"/>
      <c r="AIX39" s="43"/>
      <c r="AIY39" s="43"/>
      <c r="AIZ39" s="43"/>
      <c r="AJA39" s="43"/>
      <c r="AJB39" s="43"/>
      <c r="AJC39" s="43"/>
      <c r="AJD39" s="43"/>
      <c r="AJE39" s="43"/>
      <c r="AJF39" s="43"/>
      <c r="AJG39" s="43"/>
      <c r="AJH39" s="43"/>
      <c r="AJI39" s="43"/>
      <c r="AJJ39" s="43"/>
      <c r="AJK39" s="43"/>
      <c r="AJL39" s="43"/>
      <c r="AJM39" s="43"/>
      <c r="AJN39" s="43"/>
      <c r="AJO39" s="43"/>
      <c r="AJP39" s="43"/>
      <c r="AJQ39" s="43"/>
      <c r="AJR39" s="43"/>
      <c r="AJS39" s="43"/>
      <c r="AJT39" s="43"/>
      <c r="AJU39" s="43"/>
      <c r="AJV39" s="43"/>
      <c r="AJW39" s="43"/>
      <c r="AJX39" s="43"/>
      <c r="AJY39" s="43"/>
      <c r="AJZ39" s="43"/>
      <c r="AKA39" s="43"/>
      <c r="AKB39" s="43"/>
      <c r="AKC39" s="43"/>
      <c r="AKD39" s="43"/>
      <c r="AKE39" s="43"/>
      <c r="AKF39" s="43"/>
      <c r="AKG39" s="43"/>
      <c r="AKH39" s="43"/>
      <c r="AKI39" s="43"/>
      <c r="AKJ39" s="43"/>
      <c r="AKK39" s="43"/>
      <c r="AKL39" s="43"/>
      <c r="AKM39" s="43"/>
      <c r="AKN39" s="43"/>
      <c r="AKO39" s="43"/>
      <c r="AKP39" s="43"/>
      <c r="AKQ39" s="43"/>
      <c r="AKR39" s="43"/>
      <c r="AKS39" s="43"/>
      <c r="AKT39" s="43"/>
      <c r="AKU39" s="43"/>
      <c r="AKV39" s="43"/>
      <c r="AKW39" s="43"/>
      <c r="AKX39" s="43"/>
      <c r="AKY39" s="43"/>
      <c r="AKZ39" s="43"/>
      <c r="ALA39" s="43"/>
      <c r="ALB39" s="43"/>
      <c r="ALC39" s="43"/>
      <c r="ALD39" s="43"/>
      <c r="ALE39" s="43"/>
      <c r="ALF39" s="43"/>
      <c r="ALG39" s="43"/>
      <c r="ALH39" s="43"/>
      <c r="ALI39" s="43"/>
      <c r="ALJ39" s="43"/>
      <c r="ALK39" s="43"/>
      <c r="ALL39" s="43"/>
      <c r="ALM39" s="43"/>
      <c r="ALN39" s="43"/>
      <c r="ALO39" s="43"/>
      <c r="ALP39" s="43"/>
      <c r="ALQ39" s="43"/>
      <c r="ALR39" s="43"/>
      <c r="ALS39" s="43"/>
      <c r="ALT39" s="43"/>
      <c r="ALU39" s="43"/>
      <c r="ALV39" s="43"/>
      <c r="ALW39" s="43"/>
      <c r="ALX39" s="43"/>
      <c r="ALY39" s="43"/>
      <c r="ALZ39" s="43"/>
      <c r="AMA39" s="43"/>
      <c r="AMB39" s="43"/>
      <c r="AMC39" s="43"/>
      <c r="AMD39" s="43"/>
      <c r="AME39" s="43"/>
      <c r="AMF39" s="43"/>
      <c r="AMG39" s="43"/>
      <c r="AMH39" s="43"/>
      <c r="AMI39" s="43"/>
      <c r="AMJ39" s="43"/>
    </row>
    <row r="40" spans="1:1024" s="35" customFormat="1" ht="96" customHeight="1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  <c r="IW40" s="43"/>
      <c r="IX40" s="43"/>
      <c r="IY40" s="43"/>
      <c r="IZ40" s="43"/>
      <c r="JA40" s="43"/>
      <c r="JB40" s="43"/>
      <c r="JC40" s="43"/>
      <c r="JD40" s="43"/>
      <c r="JE40" s="43"/>
      <c r="JF40" s="43"/>
      <c r="JG40" s="43"/>
      <c r="JH40" s="43"/>
      <c r="JI40" s="43"/>
      <c r="JJ40" s="43"/>
      <c r="JK40" s="43"/>
      <c r="JL40" s="43"/>
      <c r="JM40" s="43"/>
      <c r="JN40" s="43"/>
      <c r="JO40" s="43"/>
      <c r="JP40" s="43"/>
      <c r="JQ40" s="43"/>
      <c r="JR40" s="43"/>
      <c r="JS40" s="43"/>
      <c r="JT40" s="43"/>
      <c r="JU40" s="43"/>
      <c r="JV40" s="43"/>
      <c r="JW40" s="43"/>
      <c r="JX40" s="43"/>
      <c r="JY40" s="43"/>
      <c r="JZ40" s="43"/>
      <c r="KA40" s="43"/>
      <c r="KB40" s="43"/>
      <c r="KC40" s="43"/>
      <c r="KD40" s="43"/>
      <c r="KE40" s="43"/>
      <c r="KF40" s="43"/>
      <c r="KG40" s="43"/>
      <c r="KH40" s="43"/>
      <c r="KI40" s="43"/>
      <c r="KJ40" s="43"/>
      <c r="KK40" s="43"/>
      <c r="KL40" s="43"/>
      <c r="KM40" s="43"/>
      <c r="KN40" s="43"/>
      <c r="KO40" s="43"/>
      <c r="KP40" s="43"/>
      <c r="KQ40" s="43"/>
      <c r="KR40" s="43"/>
      <c r="KS40" s="43"/>
      <c r="KT40" s="43"/>
      <c r="KU40" s="43"/>
      <c r="KV40" s="43"/>
      <c r="KW40" s="43"/>
      <c r="KX40" s="43"/>
      <c r="KY40" s="43"/>
      <c r="KZ40" s="43"/>
      <c r="LA40" s="43"/>
      <c r="LB40" s="43"/>
      <c r="LC40" s="43"/>
      <c r="LD40" s="43"/>
      <c r="LE40" s="43"/>
      <c r="LF40" s="43"/>
      <c r="LG40" s="43"/>
      <c r="LH40" s="43"/>
      <c r="LI40" s="43"/>
      <c r="LJ40" s="43"/>
      <c r="LK40" s="43"/>
      <c r="LL40" s="43"/>
      <c r="LM40" s="43"/>
      <c r="LN40" s="43"/>
      <c r="LO40" s="43"/>
      <c r="LP40" s="43"/>
      <c r="LQ40" s="43"/>
      <c r="LR40" s="43"/>
      <c r="LS40" s="43"/>
      <c r="LT40" s="43"/>
      <c r="LU40" s="43"/>
      <c r="LV40" s="43"/>
      <c r="LW40" s="43"/>
      <c r="LX40" s="43"/>
      <c r="LY40" s="43"/>
      <c r="LZ40" s="43"/>
      <c r="MA40" s="43"/>
      <c r="MB40" s="43"/>
      <c r="MC40" s="43"/>
      <c r="MD40" s="43"/>
      <c r="ME40" s="43"/>
      <c r="MF40" s="43"/>
      <c r="MG40" s="43"/>
      <c r="MH40" s="43"/>
      <c r="MI40" s="43"/>
      <c r="MJ40" s="43"/>
      <c r="MK40" s="43"/>
      <c r="ML40" s="43"/>
      <c r="MM40" s="43"/>
      <c r="MN40" s="43"/>
      <c r="MO40" s="43"/>
      <c r="MP40" s="43"/>
      <c r="MQ40" s="43"/>
      <c r="MR40" s="43"/>
      <c r="MS40" s="43"/>
      <c r="MT40" s="43"/>
      <c r="MU40" s="43"/>
      <c r="MV40" s="43"/>
      <c r="MW40" s="43"/>
      <c r="MX40" s="43"/>
      <c r="MY40" s="43"/>
      <c r="MZ40" s="43"/>
      <c r="NA40" s="43"/>
      <c r="NB40" s="43"/>
      <c r="NC40" s="43"/>
      <c r="ND40" s="43"/>
      <c r="NE40" s="43"/>
      <c r="NF40" s="43"/>
      <c r="NG40" s="43"/>
      <c r="NH40" s="43"/>
      <c r="NI40" s="43"/>
      <c r="NJ40" s="43"/>
      <c r="NK40" s="43"/>
      <c r="NL40" s="43"/>
      <c r="NM40" s="43"/>
      <c r="NN40" s="43"/>
      <c r="NO40" s="43"/>
      <c r="NP40" s="43"/>
      <c r="NQ40" s="43"/>
      <c r="NR40" s="43"/>
      <c r="NS40" s="43"/>
      <c r="NT40" s="43"/>
      <c r="NU40" s="43"/>
      <c r="NV40" s="43"/>
      <c r="NW40" s="43"/>
      <c r="NX40" s="43"/>
      <c r="NY40" s="43"/>
      <c r="NZ40" s="43"/>
      <c r="OA40" s="43"/>
      <c r="OB40" s="43"/>
      <c r="OC40" s="43"/>
      <c r="OD40" s="43"/>
      <c r="OE40" s="43"/>
      <c r="OF40" s="43"/>
      <c r="OG40" s="43"/>
      <c r="OH40" s="43"/>
      <c r="OI40" s="43"/>
      <c r="OJ40" s="43"/>
      <c r="OK40" s="43"/>
      <c r="OL40" s="43"/>
      <c r="OM40" s="43"/>
      <c r="ON40" s="43"/>
      <c r="OO40" s="43"/>
      <c r="OP40" s="43"/>
      <c r="OQ40" s="43"/>
      <c r="OR40" s="43"/>
      <c r="OS40" s="43"/>
      <c r="OT40" s="43"/>
      <c r="OU40" s="43"/>
      <c r="OV40" s="43"/>
      <c r="OW40" s="43"/>
      <c r="OX40" s="43"/>
      <c r="OY40" s="43"/>
      <c r="OZ40" s="43"/>
      <c r="PA40" s="43"/>
      <c r="PB40" s="43"/>
      <c r="PC40" s="43"/>
      <c r="PD40" s="43"/>
      <c r="PE40" s="43"/>
      <c r="PF40" s="43"/>
      <c r="PG40" s="43"/>
      <c r="PH40" s="43"/>
      <c r="PI40" s="43"/>
      <c r="PJ40" s="43"/>
      <c r="PK40" s="43"/>
      <c r="PL40" s="43"/>
      <c r="PM40" s="43"/>
      <c r="PN40" s="43"/>
      <c r="PO40" s="43"/>
      <c r="PP40" s="43"/>
      <c r="PQ40" s="43"/>
      <c r="PR40" s="43"/>
      <c r="PS40" s="43"/>
      <c r="PT40" s="43"/>
      <c r="PU40" s="43"/>
      <c r="PV40" s="43"/>
      <c r="PW40" s="43"/>
      <c r="PX40" s="43"/>
      <c r="PY40" s="43"/>
      <c r="PZ40" s="43"/>
      <c r="QA40" s="43"/>
      <c r="QB40" s="43"/>
      <c r="QC40" s="43"/>
      <c r="QD40" s="43"/>
      <c r="QE40" s="43"/>
      <c r="QF40" s="43"/>
      <c r="QG40" s="43"/>
      <c r="QH40" s="43"/>
      <c r="QI40" s="43"/>
      <c r="QJ40" s="43"/>
      <c r="QK40" s="43"/>
      <c r="QL40" s="43"/>
      <c r="QM40" s="43"/>
      <c r="QN40" s="43"/>
      <c r="QO40" s="43"/>
      <c r="QP40" s="43"/>
      <c r="QQ40" s="43"/>
      <c r="QR40" s="43"/>
      <c r="QS40" s="43"/>
      <c r="QT40" s="43"/>
      <c r="QU40" s="43"/>
      <c r="QV40" s="43"/>
      <c r="QW40" s="43"/>
      <c r="QX40" s="43"/>
      <c r="QY40" s="43"/>
      <c r="QZ40" s="43"/>
      <c r="RA40" s="43"/>
      <c r="RB40" s="43"/>
      <c r="RC40" s="43"/>
      <c r="RD40" s="43"/>
      <c r="RE40" s="43"/>
      <c r="RF40" s="43"/>
      <c r="RG40" s="43"/>
      <c r="RH40" s="43"/>
      <c r="RI40" s="43"/>
      <c r="RJ40" s="43"/>
      <c r="RK40" s="43"/>
      <c r="RL40" s="43"/>
      <c r="RM40" s="43"/>
      <c r="RN40" s="43"/>
      <c r="RO40" s="43"/>
      <c r="RP40" s="43"/>
      <c r="RQ40" s="43"/>
      <c r="RR40" s="43"/>
      <c r="RS40" s="43"/>
      <c r="RT40" s="43"/>
      <c r="RU40" s="43"/>
      <c r="RV40" s="43"/>
      <c r="RW40" s="43"/>
      <c r="RX40" s="43"/>
      <c r="RY40" s="43"/>
      <c r="RZ40" s="43"/>
      <c r="SA40" s="43"/>
      <c r="SB40" s="43"/>
      <c r="SC40" s="43"/>
      <c r="SD40" s="43"/>
      <c r="SE40" s="43"/>
      <c r="SF40" s="43"/>
      <c r="SG40" s="43"/>
      <c r="SH40" s="43"/>
      <c r="SI40" s="43"/>
      <c r="SJ40" s="43"/>
      <c r="SK40" s="43"/>
      <c r="SL40" s="43"/>
      <c r="SM40" s="43"/>
      <c r="SN40" s="43"/>
      <c r="SO40" s="43"/>
      <c r="SP40" s="43"/>
      <c r="SQ40" s="43"/>
      <c r="SR40" s="43"/>
      <c r="SS40" s="43"/>
      <c r="ST40" s="43"/>
      <c r="SU40" s="43"/>
      <c r="SV40" s="43"/>
      <c r="SW40" s="43"/>
      <c r="SX40" s="43"/>
      <c r="SY40" s="43"/>
      <c r="SZ40" s="43"/>
      <c r="TA40" s="43"/>
      <c r="TB40" s="43"/>
      <c r="TC40" s="43"/>
      <c r="TD40" s="43"/>
      <c r="TE40" s="43"/>
      <c r="TF40" s="43"/>
      <c r="TG40" s="43"/>
      <c r="TH40" s="43"/>
      <c r="TI40" s="43"/>
      <c r="TJ40" s="43"/>
      <c r="TK40" s="43"/>
      <c r="TL40" s="43"/>
      <c r="TM40" s="43"/>
      <c r="TN40" s="43"/>
      <c r="TO40" s="43"/>
      <c r="TP40" s="43"/>
      <c r="TQ40" s="43"/>
      <c r="TR40" s="43"/>
      <c r="TS40" s="43"/>
      <c r="TT40" s="43"/>
      <c r="TU40" s="43"/>
      <c r="TV40" s="43"/>
      <c r="TW40" s="43"/>
      <c r="TX40" s="43"/>
      <c r="TY40" s="43"/>
      <c r="TZ40" s="43"/>
      <c r="UA40" s="43"/>
      <c r="UB40" s="43"/>
      <c r="UC40" s="43"/>
      <c r="UD40" s="43"/>
      <c r="UE40" s="43"/>
      <c r="UF40" s="43"/>
      <c r="UG40" s="43"/>
      <c r="UH40" s="43"/>
      <c r="UI40" s="43"/>
      <c r="UJ40" s="43"/>
      <c r="UK40" s="43"/>
      <c r="UL40" s="43"/>
      <c r="UM40" s="43"/>
      <c r="UN40" s="43"/>
      <c r="UO40" s="43"/>
      <c r="UP40" s="43"/>
      <c r="UQ40" s="43"/>
      <c r="UR40" s="43"/>
      <c r="US40" s="43"/>
      <c r="UT40" s="43"/>
      <c r="UU40" s="43"/>
      <c r="UV40" s="43"/>
      <c r="UW40" s="43"/>
      <c r="UX40" s="43"/>
      <c r="UY40" s="43"/>
      <c r="UZ40" s="43"/>
      <c r="VA40" s="43"/>
      <c r="VB40" s="43"/>
      <c r="VC40" s="43"/>
      <c r="VD40" s="43"/>
      <c r="VE40" s="43"/>
      <c r="VF40" s="43"/>
      <c r="VG40" s="43"/>
      <c r="VH40" s="43"/>
      <c r="VI40" s="43"/>
      <c r="VJ40" s="43"/>
      <c r="VK40" s="43"/>
      <c r="VL40" s="43"/>
      <c r="VM40" s="43"/>
      <c r="VN40" s="43"/>
      <c r="VO40" s="43"/>
      <c r="VP40" s="43"/>
      <c r="VQ40" s="43"/>
      <c r="VR40" s="43"/>
      <c r="VS40" s="43"/>
      <c r="VT40" s="43"/>
      <c r="VU40" s="43"/>
      <c r="VV40" s="43"/>
      <c r="VW40" s="43"/>
      <c r="VX40" s="43"/>
      <c r="VY40" s="43"/>
      <c r="VZ40" s="43"/>
      <c r="WA40" s="43"/>
      <c r="WB40" s="43"/>
      <c r="WC40" s="43"/>
      <c r="WD40" s="43"/>
      <c r="WE40" s="43"/>
      <c r="WF40" s="43"/>
      <c r="WG40" s="43"/>
      <c r="WH40" s="43"/>
      <c r="WI40" s="43"/>
      <c r="WJ40" s="43"/>
      <c r="WK40" s="43"/>
      <c r="WL40" s="43"/>
      <c r="WM40" s="43"/>
      <c r="WN40" s="43"/>
      <c r="WO40" s="43"/>
      <c r="WP40" s="43"/>
      <c r="WQ40" s="43"/>
      <c r="WR40" s="43"/>
      <c r="WS40" s="43"/>
      <c r="WT40" s="43"/>
      <c r="WU40" s="43"/>
      <c r="WV40" s="43"/>
      <c r="WW40" s="43"/>
      <c r="WX40" s="43"/>
      <c r="WY40" s="43"/>
      <c r="WZ40" s="43"/>
      <c r="XA40" s="43"/>
      <c r="XB40" s="43"/>
      <c r="XC40" s="43"/>
      <c r="XD40" s="43"/>
      <c r="XE40" s="43"/>
      <c r="XF40" s="43"/>
      <c r="XG40" s="43"/>
      <c r="XH40" s="43"/>
      <c r="XI40" s="43"/>
      <c r="XJ40" s="43"/>
      <c r="XK40" s="43"/>
      <c r="XL40" s="43"/>
      <c r="XM40" s="43"/>
      <c r="XN40" s="43"/>
      <c r="XO40" s="43"/>
      <c r="XP40" s="43"/>
      <c r="XQ40" s="43"/>
      <c r="XR40" s="43"/>
      <c r="XS40" s="43"/>
      <c r="XT40" s="43"/>
      <c r="XU40" s="43"/>
      <c r="XV40" s="43"/>
      <c r="XW40" s="43"/>
      <c r="XX40" s="43"/>
      <c r="XY40" s="43"/>
      <c r="XZ40" s="43"/>
      <c r="YA40" s="43"/>
      <c r="YB40" s="43"/>
      <c r="YC40" s="43"/>
      <c r="YD40" s="43"/>
      <c r="YE40" s="43"/>
      <c r="YF40" s="43"/>
      <c r="YG40" s="43"/>
      <c r="YH40" s="43"/>
      <c r="YI40" s="43"/>
      <c r="YJ40" s="43"/>
      <c r="YK40" s="43"/>
      <c r="YL40" s="43"/>
      <c r="YM40" s="43"/>
      <c r="YN40" s="43"/>
      <c r="YO40" s="43"/>
      <c r="YP40" s="43"/>
      <c r="YQ40" s="43"/>
      <c r="YR40" s="43"/>
      <c r="YS40" s="43"/>
      <c r="YT40" s="43"/>
      <c r="YU40" s="43"/>
      <c r="YV40" s="43"/>
      <c r="YW40" s="43"/>
      <c r="YX40" s="43"/>
      <c r="YY40" s="43"/>
      <c r="YZ40" s="43"/>
      <c r="ZA40" s="43"/>
      <c r="ZB40" s="43"/>
      <c r="ZC40" s="43"/>
      <c r="ZD40" s="43"/>
      <c r="ZE40" s="43"/>
      <c r="ZF40" s="43"/>
      <c r="ZG40" s="43"/>
      <c r="ZH40" s="43"/>
      <c r="ZI40" s="43"/>
      <c r="ZJ40" s="43"/>
      <c r="ZK40" s="43"/>
      <c r="ZL40" s="43"/>
      <c r="ZM40" s="43"/>
      <c r="ZN40" s="43"/>
      <c r="ZO40" s="43"/>
      <c r="ZP40" s="43"/>
      <c r="ZQ40" s="43"/>
      <c r="ZR40" s="43"/>
      <c r="ZS40" s="43"/>
      <c r="ZT40" s="43"/>
      <c r="ZU40" s="43"/>
      <c r="ZV40" s="43"/>
      <c r="ZW40" s="43"/>
      <c r="ZX40" s="43"/>
      <c r="ZY40" s="43"/>
      <c r="ZZ40" s="43"/>
      <c r="AAA40" s="43"/>
      <c r="AAB40" s="43"/>
      <c r="AAC40" s="43"/>
      <c r="AAD40" s="43"/>
      <c r="AAE40" s="43"/>
      <c r="AAF40" s="43"/>
      <c r="AAG40" s="43"/>
      <c r="AAH40" s="43"/>
      <c r="AAI40" s="43"/>
      <c r="AAJ40" s="43"/>
      <c r="AAK40" s="43"/>
      <c r="AAL40" s="43"/>
      <c r="AAM40" s="43"/>
      <c r="AAN40" s="43"/>
      <c r="AAO40" s="43"/>
      <c r="AAP40" s="43"/>
      <c r="AAQ40" s="43"/>
      <c r="AAR40" s="43"/>
      <c r="AAS40" s="43"/>
      <c r="AAT40" s="43"/>
      <c r="AAU40" s="43"/>
      <c r="AAV40" s="43"/>
      <c r="AAW40" s="43"/>
      <c r="AAX40" s="43"/>
      <c r="AAY40" s="43"/>
      <c r="AAZ40" s="43"/>
      <c r="ABA40" s="43"/>
      <c r="ABB40" s="43"/>
      <c r="ABC40" s="43"/>
      <c r="ABD40" s="43"/>
      <c r="ABE40" s="43"/>
      <c r="ABF40" s="43"/>
      <c r="ABG40" s="43"/>
      <c r="ABH40" s="43"/>
      <c r="ABI40" s="43"/>
      <c r="ABJ40" s="43"/>
      <c r="ABK40" s="43"/>
      <c r="ABL40" s="43"/>
      <c r="ABM40" s="43"/>
      <c r="ABN40" s="43"/>
      <c r="ABO40" s="43"/>
      <c r="ABP40" s="43"/>
      <c r="ABQ40" s="43"/>
      <c r="ABR40" s="43"/>
      <c r="ABS40" s="43"/>
      <c r="ABT40" s="43"/>
      <c r="ABU40" s="43"/>
      <c r="ABV40" s="43"/>
      <c r="ABW40" s="43"/>
      <c r="ABX40" s="43"/>
      <c r="ABY40" s="43"/>
      <c r="ABZ40" s="43"/>
      <c r="ACA40" s="43"/>
      <c r="ACB40" s="43"/>
      <c r="ACC40" s="43"/>
      <c r="ACD40" s="43"/>
      <c r="ACE40" s="43"/>
      <c r="ACF40" s="43"/>
      <c r="ACG40" s="43"/>
      <c r="ACH40" s="43"/>
      <c r="ACI40" s="43"/>
      <c r="ACJ40" s="43"/>
      <c r="ACK40" s="43"/>
      <c r="ACL40" s="43"/>
      <c r="ACM40" s="43"/>
      <c r="ACN40" s="43"/>
      <c r="ACO40" s="43"/>
      <c r="ACP40" s="43"/>
      <c r="ACQ40" s="43"/>
      <c r="ACR40" s="43"/>
      <c r="ACS40" s="43"/>
      <c r="ACT40" s="43"/>
      <c r="ACU40" s="43"/>
      <c r="ACV40" s="43"/>
      <c r="ACW40" s="43"/>
      <c r="ACX40" s="43"/>
      <c r="ACY40" s="43"/>
      <c r="ACZ40" s="43"/>
      <c r="ADA40" s="43"/>
      <c r="ADB40" s="43"/>
      <c r="ADC40" s="43"/>
      <c r="ADD40" s="43"/>
      <c r="ADE40" s="43"/>
      <c r="ADF40" s="43"/>
      <c r="ADG40" s="43"/>
      <c r="ADH40" s="43"/>
      <c r="ADI40" s="43"/>
      <c r="ADJ40" s="43"/>
      <c r="ADK40" s="43"/>
      <c r="ADL40" s="43"/>
      <c r="ADM40" s="43"/>
      <c r="ADN40" s="43"/>
      <c r="ADO40" s="43"/>
      <c r="ADP40" s="43"/>
      <c r="ADQ40" s="43"/>
      <c r="ADR40" s="43"/>
      <c r="ADS40" s="43"/>
      <c r="ADT40" s="43"/>
      <c r="ADU40" s="43"/>
      <c r="ADV40" s="43"/>
      <c r="ADW40" s="43"/>
      <c r="ADX40" s="43"/>
      <c r="ADY40" s="43"/>
      <c r="ADZ40" s="43"/>
      <c r="AEA40" s="43"/>
      <c r="AEB40" s="43"/>
      <c r="AEC40" s="43"/>
      <c r="AED40" s="43"/>
      <c r="AEE40" s="43"/>
      <c r="AEF40" s="43"/>
      <c r="AEG40" s="43"/>
      <c r="AEH40" s="43"/>
      <c r="AEI40" s="43"/>
      <c r="AEJ40" s="43"/>
      <c r="AEK40" s="43"/>
      <c r="AEL40" s="43"/>
      <c r="AEM40" s="43"/>
      <c r="AEN40" s="43"/>
      <c r="AEO40" s="43"/>
      <c r="AEP40" s="43"/>
      <c r="AEQ40" s="43"/>
      <c r="AER40" s="43"/>
      <c r="AES40" s="43"/>
      <c r="AET40" s="43"/>
      <c r="AEU40" s="43"/>
      <c r="AEV40" s="43"/>
      <c r="AEW40" s="43"/>
      <c r="AEX40" s="43"/>
      <c r="AEY40" s="43"/>
      <c r="AEZ40" s="43"/>
      <c r="AFA40" s="43"/>
      <c r="AFB40" s="43"/>
      <c r="AFC40" s="43"/>
      <c r="AFD40" s="43"/>
      <c r="AFE40" s="43"/>
      <c r="AFF40" s="43"/>
      <c r="AFG40" s="43"/>
      <c r="AFH40" s="43"/>
      <c r="AFI40" s="43"/>
      <c r="AFJ40" s="43"/>
      <c r="AFK40" s="43"/>
      <c r="AFL40" s="43"/>
      <c r="AFM40" s="43"/>
      <c r="AFN40" s="43"/>
      <c r="AFO40" s="43"/>
      <c r="AFP40" s="43"/>
      <c r="AFQ40" s="43"/>
      <c r="AFR40" s="43"/>
      <c r="AFS40" s="43"/>
      <c r="AFT40" s="43"/>
      <c r="AFU40" s="43"/>
      <c r="AFV40" s="43"/>
      <c r="AFW40" s="43"/>
      <c r="AFX40" s="43"/>
      <c r="AFY40" s="43"/>
      <c r="AFZ40" s="43"/>
      <c r="AGA40" s="43"/>
      <c r="AGB40" s="43"/>
      <c r="AGC40" s="43"/>
      <c r="AGD40" s="43"/>
      <c r="AGE40" s="43"/>
      <c r="AGF40" s="43"/>
      <c r="AGG40" s="43"/>
      <c r="AGH40" s="43"/>
      <c r="AGI40" s="43"/>
      <c r="AGJ40" s="43"/>
      <c r="AGK40" s="43"/>
      <c r="AGL40" s="43"/>
      <c r="AGM40" s="43"/>
      <c r="AGN40" s="43"/>
      <c r="AGO40" s="43"/>
      <c r="AGP40" s="43"/>
      <c r="AGQ40" s="43"/>
      <c r="AGR40" s="43"/>
      <c r="AGS40" s="43"/>
      <c r="AGT40" s="43"/>
      <c r="AGU40" s="43"/>
      <c r="AGV40" s="43"/>
      <c r="AGW40" s="43"/>
      <c r="AGX40" s="43"/>
      <c r="AGY40" s="43"/>
      <c r="AGZ40" s="43"/>
      <c r="AHA40" s="43"/>
      <c r="AHB40" s="43"/>
      <c r="AHC40" s="43"/>
      <c r="AHD40" s="43"/>
      <c r="AHE40" s="43"/>
      <c r="AHF40" s="43"/>
      <c r="AHG40" s="43"/>
      <c r="AHH40" s="43"/>
      <c r="AHI40" s="43"/>
      <c r="AHJ40" s="43"/>
      <c r="AHK40" s="43"/>
      <c r="AHL40" s="43"/>
      <c r="AHM40" s="43"/>
      <c r="AHN40" s="43"/>
      <c r="AHO40" s="43"/>
      <c r="AHP40" s="43"/>
      <c r="AHQ40" s="43"/>
      <c r="AHR40" s="43"/>
      <c r="AHS40" s="43"/>
      <c r="AHT40" s="43"/>
      <c r="AHU40" s="43"/>
      <c r="AHV40" s="43"/>
      <c r="AHW40" s="43"/>
      <c r="AHX40" s="43"/>
      <c r="AHY40" s="43"/>
      <c r="AHZ40" s="43"/>
      <c r="AIA40" s="43"/>
      <c r="AIB40" s="43"/>
      <c r="AIC40" s="43"/>
      <c r="AID40" s="43"/>
      <c r="AIE40" s="43"/>
      <c r="AIF40" s="43"/>
      <c r="AIG40" s="43"/>
      <c r="AIH40" s="43"/>
      <c r="AII40" s="43"/>
      <c r="AIJ40" s="43"/>
      <c r="AIK40" s="43"/>
      <c r="AIL40" s="43"/>
      <c r="AIM40" s="43"/>
      <c r="AIN40" s="43"/>
      <c r="AIO40" s="43"/>
      <c r="AIP40" s="43"/>
      <c r="AIQ40" s="43"/>
      <c r="AIR40" s="43"/>
      <c r="AIS40" s="43"/>
      <c r="AIT40" s="43"/>
      <c r="AIU40" s="43"/>
      <c r="AIV40" s="43"/>
      <c r="AIW40" s="43"/>
      <c r="AIX40" s="43"/>
      <c r="AIY40" s="43"/>
      <c r="AIZ40" s="43"/>
      <c r="AJA40" s="43"/>
      <c r="AJB40" s="43"/>
      <c r="AJC40" s="43"/>
      <c r="AJD40" s="43"/>
      <c r="AJE40" s="43"/>
      <c r="AJF40" s="43"/>
      <c r="AJG40" s="43"/>
      <c r="AJH40" s="43"/>
      <c r="AJI40" s="43"/>
      <c r="AJJ40" s="43"/>
      <c r="AJK40" s="43"/>
      <c r="AJL40" s="43"/>
      <c r="AJM40" s="43"/>
      <c r="AJN40" s="43"/>
      <c r="AJO40" s="43"/>
      <c r="AJP40" s="43"/>
      <c r="AJQ40" s="43"/>
      <c r="AJR40" s="43"/>
      <c r="AJS40" s="43"/>
      <c r="AJT40" s="43"/>
      <c r="AJU40" s="43"/>
      <c r="AJV40" s="43"/>
      <c r="AJW40" s="43"/>
      <c r="AJX40" s="43"/>
      <c r="AJY40" s="43"/>
      <c r="AJZ40" s="43"/>
      <c r="AKA40" s="43"/>
      <c r="AKB40" s="43"/>
      <c r="AKC40" s="43"/>
      <c r="AKD40" s="43"/>
      <c r="AKE40" s="43"/>
      <c r="AKF40" s="43"/>
      <c r="AKG40" s="43"/>
      <c r="AKH40" s="43"/>
      <c r="AKI40" s="43"/>
      <c r="AKJ40" s="43"/>
      <c r="AKK40" s="43"/>
      <c r="AKL40" s="43"/>
      <c r="AKM40" s="43"/>
      <c r="AKN40" s="43"/>
      <c r="AKO40" s="43"/>
      <c r="AKP40" s="43"/>
      <c r="AKQ40" s="43"/>
      <c r="AKR40" s="43"/>
      <c r="AKS40" s="43"/>
      <c r="AKT40" s="43"/>
      <c r="AKU40" s="43"/>
      <c r="AKV40" s="43"/>
      <c r="AKW40" s="43"/>
      <c r="AKX40" s="43"/>
      <c r="AKY40" s="43"/>
      <c r="AKZ40" s="43"/>
      <c r="ALA40" s="43"/>
      <c r="ALB40" s="43"/>
      <c r="ALC40" s="43"/>
      <c r="ALD40" s="43"/>
      <c r="ALE40" s="43"/>
      <c r="ALF40" s="43"/>
      <c r="ALG40" s="43"/>
      <c r="ALH40" s="43"/>
      <c r="ALI40" s="43"/>
      <c r="ALJ40" s="43"/>
      <c r="ALK40" s="43"/>
      <c r="ALL40" s="43"/>
      <c r="ALM40" s="43"/>
      <c r="ALN40" s="43"/>
      <c r="ALO40" s="43"/>
      <c r="ALP40" s="43"/>
      <c r="ALQ40" s="43"/>
      <c r="ALR40" s="43"/>
      <c r="ALS40" s="43"/>
      <c r="ALT40" s="43"/>
      <c r="ALU40" s="43"/>
      <c r="ALV40" s="43"/>
      <c r="ALW40" s="43"/>
      <c r="ALX40" s="43"/>
      <c r="ALY40" s="43"/>
      <c r="ALZ40" s="43"/>
      <c r="AMA40" s="43"/>
      <c r="AMB40" s="43"/>
      <c r="AMC40" s="43"/>
      <c r="AMD40" s="43"/>
      <c r="AME40" s="43"/>
      <c r="AMF40" s="43"/>
      <c r="AMG40" s="43"/>
      <c r="AMH40" s="43"/>
      <c r="AMI40" s="43"/>
      <c r="AMJ40" s="43"/>
    </row>
    <row r="41" spans="1:1024" s="35" customFormat="1" x14ac:dyDescent="0.25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  <c r="IW41" s="43"/>
      <c r="IX41" s="43"/>
      <c r="IY41" s="43"/>
      <c r="IZ41" s="43"/>
      <c r="JA41" s="43"/>
      <c r="JB41" s="43"/>
      <c r="JC41" s="43"/>
      <c r="JD41" s="43"/>
      <c r="JE41" s="43"/>
      <c r="JF41" s="43"/>
      <c r="JG41" s="43"/>
      <c r="JH41" s="43"/>
      <c r="JI41" s="43"/>
      <c r="JJ41" s="43"/>
      <c r="JK41" s="43"/>
      <c r="JL41" s="43"/>
      <c r="JM41" s="43"/>
      <c r="JN41" s="43"/>
      <c r="JO41" s="43"/>
      <c r="JP41" s="43"/>
      <c r="JQ41" s="43"/>
      <c r="JR41" s="43"/>
      <c r="JS41" s="43"/>
      <c r="JT41" s="43"/>
      <c r="JU41" s="43"/>
      <c r="JV41" s="43"/>
      <c r="JW41" s="43"/>
      <c r="JX41" s="43"/>
      <c r="JY41" s="43"/>
      <c r="JZ41" s="43"/>
      <c r="KA41" s="43"/>
      <c r="KB41" s="43"/>
      <c r="KC41" s="43"/>
      <c r="KD41" s="43"/>
      <c r="KE41" s="43"/>
      <c r="KF41" s="43"/>
      <c r="KG41" s="43"/>
      <c r="KH41" s="43"/>
      <c r="KI41" s="43"/>
      <c r="KJ41" s="43"/>
      <c r="KK41" s="43"/>
      <c r="KL41" s="43"/>
      <c r="KM41" s="43"/>
      <c r="KN41" s="43"/>
      <c r="KO41" s="43"/>
      <c r="KP41" s="43"/>
      <c r="KQ41" s="43"/>
      <c r="KR41" s="43"/>
      <c r="KS41" s="43"/>
      <c r="KT41" s="43"/>
      <c r="KU41" s="43"/>
      <c r="KV41" s="43"/>
      <c r="KW41" s="43"/>
      <c r="KX41" s="43"/>
      <c r="KY41" s="43"/>
      <c r="KZ41" s="43"/>
      <c r="LA41" s="43"/>
      <c r="LB41" s="43"/>
      <c r="LC41" s="43"/>
      <c r="LD41" s="43"/>
      <c r="LE41" s="43"/>
      <c r="LF41" s="43"/>
      <c r="LG41" s="43"/>
      <c r="LH41" s="43"/>
      <c r="LI41" s="43"/>
      <c r="LJ41" s="43"/>
      <c r="LK41" s="43"/>
      <c r="LL41" s="43"/>
      <c r="LM41" s="43"/>
      <c r="LN41" s="43"/>
      <c r="LO41" s="43"/>
      <c r="LP41" s="43"/>
      <c r="LQ41" s="43"/>
      <c r="LR41" s="43"/>
      <c r="LS41" s="43"/>
      <c r="LT41" s="43"/>
      <c r="LU41" s="43"/>
      <c r="LV41" s="43"/>
      <c r="LW41" s="43"/>
      <c r="LX41" s="43"/>
      <c r="LY41" s="43"/>
      <c r="LZ41" s="43"/>
      <c r="MA41" s="43"/>
      <c r="MB41" s="43"/>
      <c r="MC41" s="43"/>
      <c r="MD41" s="43"/>
      <c r="ME41" s="43"/>
      <c r="MF41" s="43"/>
      <c r="MG41" s="43"/>
      <c r="MH41" s="43"/>
      <c r="MI41" s="43"/>
      <c r="MJ41" s="43"/>
      <c r="MK41" s="43"/>
      <c r="ML41" s="43"/>
      <c r="MM41" s="43"/>
      <c r="MN41" s="43"/>
      <c r="MO41" s="43"/>
      <c r="MP41" s="43"/>
      <c r="MQ41" s="43"/>
      <c r="MR41" s="43"/>
      <c r="MS41" s="43"/>
      <c r="MT41" s="43"/>
      <c r="MU41" s="43"/>
      <c r="MV41" s="43"/>
      <c r="MW41" s="43"/>
      <c r="MX41" s="43"/>
      <c r="MY41" s="43"/>
      <c r="MZ41" s="43"/>
      <c r="NA41" s="43"/>
      <c r="NB41" s="43"/>
      <c r="NC41" s="43"/>
      <c r="ND41" s="43"/>
      <c r="NE41" s="43"/>
      <c r="NF41" s="43"/>
      <c r="NG41" s="43"/>
      <c r="NH41" s="43"/>
      <c r="NI41" s="43"/>
      <c r="NJ41" s="43"/>
      <c r="NK41" s="43"/>
      <c r="NL41" s="43"/>
      <c r="NM41" s="43"/>
      <c r="NN41" s="43"/>
      <c r="NO41" s="43"/>
      <c r="NP41" s="43"/>
      <c r="NQ41" s="43"/>
      <c r="NR41" s="43"/>
      <c r="NS41" s="43"/>
      <c r="NT41" s="43"/>
      <c r="NU41" s="43"/>
      <c r="NV41" s="43"/>
      <c r="NW41" s="43"/>
      <c r="NX41" s="43"/>
      <c r="NY41" s="43"/>
      <c r="NZ41" s="43"/>
      <c r="OA41" s="43"/>
      <c r="OB41" s="43"/>
      <c r="OC41" s="43"/>
      <c r="OD41" s="43"/>
      <c r="OE41" s="43"/>
      <c r="OF41" s="43"/>
      <c r="OG41" s="43"/>
      <c r="OH41" s="43"/>
      <c r="OI41" s="43"/>
      <c r="OJ41" s="43"/>
      <c r="OK41" s="43"/>
      <c r="OL41" s="43"/>
      <c r="OM41" s="43"/>
      <c r="ON41" s="43"/>
      <c r="OO41" s="43"/>
      <c r="OP41" s="43"/>
      <c r="OQ41" s="43"/>
      <c r="OR41" s="43"/>
      <c r="OS41" s="43"/>
      <c r="OT41" s="43"/>
      <c r="OU41" s="43"/>
      <c r="OV41" s="43"/>
      <c r="OW41" s="43"/>
      <c r="OX41" s="43"/>
      <c r="OY41" s="43"/>
      <c r="OZ41" s="43"/>
      <c r="PA41" s="43"/>
      <c r="PB41" s="43"/>
      <c r="PC41" s="43"/>
      <c r="PD41" s="43"/>
      <c r="PE41" s="43"/>
      <c r="PF41" s="43"/>
      <c r="PG41" s="43"/>
      <c r="PH41" s="43"/>
      <c r="PI41" s="43"/>
      <c r="PJ41" s="43"/>
      <c r="PK41" s="43"/>
      <c r="PL41" s="43"/>
      <c r="PM41" s="43"/>
      <c r="PN41" s="43"/>
      <c r="PO41" s="43"/>
      <c r="PP41" s="43"/>
      <c r="PQ41" s="43"/>
      <c r="PR41" s="43"/>
      <c r="PS41" s="43"/>
      <c r="PT41" s="43"/>
      <c r="PU41" s="43"/>
      <c r="PV41" s="43"/>
      <c r="PW41" s="43"/>
      <c r="PX41" s="43"/>
      <c r="PY41" s="43"/>
      <c r="PZ41" s="43"/>
      <c r="QA41" s="43"/>
      <c r="QB41" s="43"/>
      <c r="QC41" s="43"/>
      <c r="QD41" s="43"/>
      <c r="QE41" s="43"/>
      <c r="QF41" s="43"/>
      <c r="QG41" s="43"/>
      <c r="QH41" s="43"/>
      <c r="QI41" s="43"/>
      <c r="QJ41" s="43"/>
      <c r="QK41" s="43"/>
      <c r="QL41" s="43"/>
      <c r="QM41" s="43"/>
      <c r="QN41" s="43"/>
      <c r="QO41" s="43"/>
      <c r="QP41" s="43"/>
      <c r="QQ41" s="43"/>
      <c r="QR41" s="43"/>
      <c r="QS41" s="43"/>
      <c r="QT41" s="43"/>
      <c r="QU41" s="43"/>
      <c r="QV41" s="43"/>
      <c r="QW41" s="43"/>
      <c r="QX41" s="43"/>
      <c r="QY41" s="43"/>
      <c r="QZ41" s="43"/>
      <c r="RA41" s="43"/>
      <c r="RB41" s="43"/>
      <c r="RC41" s="43"/>
      <c r="RD41" s="43"/>
      <c r="RE41" s="43"/>
      <c r="RF41" s="43"/>
      <c r="RG41" s="43"/>
      <c r="RH41" s="43"/>
      <c r="RI41" s="43"/>
      <c r="RJ41" s="43"/>
      <c r="RK41" s="43"/>
      <c r="RL41" s="43"/>
      <c r="RM41" s="43"/>
      <c r="RN41" s="43"/>
      <c r="RO41" s="43"/>
      <c r="RP41" s="43"/>
      <c r="RQ41" s="43"/>
      <c r="RR41" s="43"/>
      <c r="RS41" s="43"/>
      <c r="RT41" s="43"/>
      <c r="RU41" s="43"/>
      <c r="RV41" s="43"/>
      <c r="RW41" s="43"/>
      <c r="RX41" s="43"/>
      <c r="RY41" s="43"/>
      <c r="RZ41" s="43"/>
      <c r="SA41" s="43"/>
      <c r="SB41" s="43"/>
      <c r="SC41" s="43"/>
      <c r="SD41" s="43"/>
      <c r="SE41" s="43"/>
      <c r="SF41" s="43"/>
      <c r="SG41" s="43"/>
      <c r="SH41" s="43"/>
      <c r="SI41" s="43"/>
      <c r="SJ41" s="43"/>
      <c r="SK41" s="43"/>
      <c r="SL41" s="43"/>
      <c r="SM41" s="43"/>
      <c r="SN41" s="43"/>
      <c r="SO41" s="43"/>
      <c r="SP41" s="43"/>
      <c r="SQ41" s="43"/>
      <c r="SR41" s="43"/>
      <c r="SS41" s="43"/>
      <c r="ST41" s="43"/>
      <c r="SU41" s="43"/>
      <c r="SV41" s="43"/>
      <c r="SW41" s="43"/>
      <c r="SX41" s="43"/>
      <c r="SY41" s="43"/>
      <c r="SZ41" s="43"/>
      <c r="TA41" s="43"/>
      <c r="TB41" s="43"/>
      <c r="TC41" s="43"/>
      <c r="TD41" s="43"/>
      <c r="TE41" s="43"/>
      <c r="TF41" s="43"/>
      <c r="TG41" s="43"/>
      <c r="TH41" s="43"/>
      <c r="TI41" s="43"/>
      <c r="TJ41" s="43"/>
      <c r="TK41" s="43"/>
      <c r="TL41" s="43"/>
      <c r="TM41" s="43"/>
      <c r="TN41" s="43"/>
      <c r="TO41" s="43"/>
      <c r="TP41" s="43"/>
      <c r="TQ41" s="43"/>
      <c r="TR41" s="43"/>
      <c r="TS41" s="43"/>
      <c r="TT41" s="43"/>
      <c r="TU41" s="43"/>
      <c r="TV41" s="43"/>
      <c r="TW41" s="43"/>
      <c r="TX41" s="43"/>
      <c r="TY41" s="43"/>
      <c r="TZ41" s="43"/>
      <c r="UA41" s="43"/>
      <c r="UB41" s="43"/>
      <c r="UC41" s="43"/>
      <c r="UD41" s="43"/>
      <c r="UE41" s="43"/>
      <c r="UF41" s="43"/>
      <c r="UG41" s="43"/>
      <c r="UH41" s="43"/>
      <c r="UI41" s="43"/>
      <c r="UJ41" s="43"/>
      <c r="UK41" s="43"/>
      <c r="UL41" s="43"/>
      <c r="UM41" s="43"/>
      <c r="UN41" s="43"/>
      <c r="UO41" s="43"/>
      <c r="UP41" s="43"/>
      <c r="UQ41" s="43"/>
      <c r="UR41" s="43"/>
      <c r="US41" s="43"/>
      <c r="UT41" s="43"/>
      <c r="UU41" s="43"/>
      <c r="UV41" s="43"/>
      <c r="UW41" s="43"/>
      <c r="UX41" s="43"/>
      <c r="UY41" s="43"/>
      <c r="UZ41" s="43"/>
      <c r="VA41" s="43"/>
      <c r="VB41" s="43"/>
      <c r="VC41" s="43"/>
      <c r="VD41" s="43"/>
      <c r="VE41" s="43"/>
      <c r="VF41" s="43"/>
      <c r="VG41" s="43"/>
      <c r="VH41" s="43"/>
      <c r="VI41" s="43"/>
      <c r="VJ41" s="43"/>
      <c r="VK41" s="43"/>
      <c r="VL41" s="43"/>
      <c r="VM41" s="43"/>
      <c r="VN41" s="43"/>
      <c r="VO41" s="43"/>
      <c r="VP41" s="43"/>
      <c r="VQ41" s="43"/>
      <c r="VR41" s="43"/>
      <c r="VS41" s="43"/>
      <c r="VT41" s="43"/>
      <c r="VU41" s="43"/>
      <c r="VV41" s="43"/>
      <c r="VW41" s="43"/>
      <c r="VX41" s="43"/>
      <c r="VY41" s="43"/>
      <c r="VZ41" s="43"/>
      <c r="WA41" s="43"/>
      <c r="WB41" s="43"/>
      <c r="WC41" s="43"/>
      <c r="WD41" s="43"/>
      <c r="WE41" s="43"/>
      <c r="WF41" s="43"/>
      <c r="WG41" s="43"/>
      <c r="WH41" s="43"/>
      <c r="WI41" s="43"/>
      <c r="WJ41" s="43"/>
      <c r="WK41" s="43"/>
      <c r="WL41" s="43"/>
      <c r="WM41" s="43"/>
      <c r="WN41" s="43"/>
      <c r="WO41" s="43"/>
      <c r="WP41" s="43"/>
      <c r="WQ41" s="43"/>
      <c r="WR41" s="43"/>
      <c r="WS41" s="43"/>
      <c r="WT41" s="43"/>
      <c r="WU41" s="43"/>
      <c r="WV41" s="43"/>
      <c r="WW41" s="43"/>
      <c r="WX41" s="43"/>
      <c r="WY41" s="43"/>
      <c r="WZ41" s="43"/>
      <c r="XA41" s="43"/>
      <c r="XB41" s="43"/>
      <c r="XC41" s="43"/>
      <c r="XD41" s="43"/>
      <c r="XE41" s="43"/>
      <c r="XF41" s="43"/>
      <c r="XG41" s="43"/>
      <c r="XH41" s="43"/>
      <c r="XI41" s="43"/>
      <c r="XJ41" s="43"/>
      <c r="XK41" s="43"/>
      <c r="XL41" s="43"/>
      <c r="XM41" s="43"/>
      <c r="XN41" s="43"/>
      <c r="XO41" s="43"/>
      <c r="XP41" s="43"/>
      <c r="XQ41" s="43"/>
      <c r="XR41" s="43"/>
      <c r="XS41" s="43"/>
      <c r="XT41" s="43"/>
      <c r="XU41" s="43"/>
      <c r="XV41" s="43"/>
      <c r="XW41" s="43"/>
      <c r="XX41" s="43"/>
      <c r="XY41" s="43"/>
      <c r="XZ41" s="43"/>
      <c r="YA41" s="43"/>
      <c r="YB41" s="43"/>
      <c r="YC41" s="43"/>
      <c r="YD41" s="43"/>
      <c r="YE41" s="43"/>
      <c r="YF41" s="43"/>
      <c r="YG41" s="43"/>
      <c r="YH41" s="43"/>
      <c r="YI41" s="43"/>
      <c r="YJ41" s="43"/>
      <c r="YK41" s="43"/>
      <c r="YL41" s="43"/>
      <c r="YM41" s="43"/>
      <c r="YN41" s="43"/>
      <c r="YO41" s="43"/>
      <c r="YP41" s="43"/>
      <c r="YQ41" s="43"/>
      <c r="YR41" s="43"/>
      <c r="YS41" s="43"/>
      <c r="YT41" s="43"/>
      <c r="YU41" s="43"/>
      <c r="YV41" s="43"/>
      <c r="YW41" s="43"/>
      <c r="YX41" s="43"/>
      <c r="YY41" s="43"/>
      <c r="YZ41" s="43"/>
      <c r="ZA41" s="43"/>
      <c r="ZB41" s="43"/>
      <c r="ZC41" s="43"/>
      <c r="ZD41" s="43"/>
      <c r="ZE41" s="43"/>
      <c r="ZF41" s="43"/>
      <c r="ZG41" s="43"/>
      <c r="ZH41" s="43"/>
      <c r="ZI41" s="43"/>
      <c r="ZJ41" s="43"/>
      <c r="ZK41" s="43"/>
      <c r="ZL41" s="43"/>
      <c r="ZM41" s="43"/>
      <c r="ZN41" s="43"/>
      <c r="ZO41" s="43"/>
      <c r="ZP41" s="43"/>
      <c r="ZQ41" s="43"/>
      <c r="ZR41" s="43"/>
      <c r="ZS41" s="43"/>
      <c r="ZT41" s="43"/>
      <c r="ZU41" s="43"/>
      <c r="ZV41" s="43"/>
      <c r="ZW41" s="43"/>
      <c r="ZX41" s="43"/>
      <c r="ZY41" s="43"/>
      <c r="ZZ41" s="43"/>
      <c r="AAA41" s="43"/>
      <c r="AAB41" s="43"/>
      <c r="AAC41" s="43"/>
      <c r="AAD41" s="43"/>
      <c r="AAE41" s="43"/>
      <c r="AAF41" s="43"/>
      <c r="AAG41" s="43"/>
      <c r="AAH41" s="43"/>
      <c r="AAI41" s="43"/>
      <c r="AAJ41" s="43"/>
      <c r="AAK41" s="43"/>
      <c r="AAL41" s="43"/>
      <c r="AAM41" s="43"/>
      <c r="AAN41" s="43"/>
      <c r="AAO41" s="43"/>
      <c r="AAP41" s="43"/>
      <c r="AAQ41" s="43"/>
      <c r="AAR41" s="43"/>
      <c r="AAS41" s="43"/>
      <c r="AAT41" s="43"/>
      <c r="AAU41" s="43"/>
      <c r="AAV41" s="43"/>
      <c r="AAW41" s="43"/>
      <c r="AAX41" s="43"/>
      <c r="AAY41" s="43"/>
      <c r="AAZ41" s="43"/>
      <c r="ABA41" s="43"/>
      <c r="ABB41" s="43"/>
      <c r="ABC41" s="43"/>
      <c r="ABD41" s="43"/>
      <c r="ABE41" s="43"/>
      <c r="ABF41" s="43"/>
      <c r="ABG41" s="43"/>
      <c r="ABH41" s="43"/>
      <c r="ABI41" s="43"/>
      <c r="ABJ41" s="43"/>
      <c r="ABK41" s="43"/>
      <c r="ABL41" s="43"/>
      <c r="ABM41" s="43"/>
      <c r="ABN41" s="43"/>
      <c r="ABO41" s="43"/>
      <c r="ABP41" s="43"/>
      <c r="ABQ41" s="43"/>
      <c r="ABR41" s="43"/>
      <c r="ABS41" s="43"/>
      <c r="ABT41" s="43"/>
      <c r="ABU41" s="43"/>
      <c r="ABV41" s="43"/>
      <c r="ABW41" s="43"/>
      <c r="ABX41" s="43"/>
      <c r="ABY41" s="43"/>
      <c r="ABZ41" s="43"/>
      <c r="ACA41" s="43"/>
      <c r="ACB41" s="43"/>
      <c r="ACC41" s="43"/>
      <c r="ACD41" s="43"/>
      <c r="ACE41" s="43"/>
      <c r="ACF41" s="43"/>
      <c r="ACG41" s="43"/>
      <c r="ACH41" s="43"/>
      <c r="ACI41" s="43"/>
      <c r="ACJ41" s="43"/>
      <c r="ACK41" s="43"/>
      <c r="ACL41" s="43"/>
      <c r="ACM41" s="43"/>
      <c r="ACN41" s="43"/>
      <c r="ACO41" s="43"/>
      <c r="ACP41" s="43"/>
      <c r="ACQ41" s="43"/>
      <c r="ACR41" s="43"/>
      <c r="ACS41" s="43"/>
      <c r="ACT41" s="43"/>
      <c r="ACU41" s="43"/>
      <c r="ACV41" s="43"/>
      <c r="ACW41" s="43"/>
      <c r="ACX41" s="43"/>
      <c r="ACY41" s="43"/>
      <c r="ACZ41" s="43"/>
      <c r="ADA41" s="43"/>
      <c r="ADB41" s="43"/>
      <c r="ADC41" s="43"/>
      <c r="ADD41" s="43"/>
      <c r="ADE41" s="43"/>
      <c r="ADF41" s="43"/>
      <c r="ADG41" s="43"/>
      <c r="ADH41" s="43"/>
      <c r="ADI41" s="43"/>
      <c r="ADJ41" s="43"/>
      <c r="ADK41" s="43"/>
      <c r="ADL41" s="43"/>
      <c r="ADM41" s="43"/>
      <c r="ADN41" s="43"/>
      <c r="ADO41" s="43"/>
      <c r="ADP41" s="43"/>
      <c r="ADQ41" s="43"/>
      <c r="ADR41" s="43"/>
      <c r="ADS41" s="43"/>
      <c r="ADT41" s="43"/>
      <c r="ADU41" s="43"/>
      <c r="ADV41" s="43"/>
      <c r="ADW41" s="43"/>
      <c r="ADX41" s="43"/>
      <c r="ADY41" s="43"/>
      <c r="ADZ41" s="43"/>
      <c r="AEA41" s="43"/>
      <c r="AEB41" s="43"/>
      <c r="AEC41" s="43"/>
      <c r="AED41" s="43"/>
      <c r="AEE41" s="43"/>
      <c r="AEF41" s="43"/>
      <c r="AEG41" s="43"/>
      <c r="AEH41" s="43"/>
      <c r="AEI41" s="43"/>
      <c r="AEJ41" s="43"/>
      <c r="AEK41" s="43"/>
      <c r="AEL41" s="43"/>
      <c r="AEM41" s="43"/>
      <c r="AEN41" s="43"/>
      <c r="AEO41" s="43"/>
      <c r="AEP41" s="43"/>
      <c r="AEQ41" s="43"/>
      <c r="AER41" s="43"/>
      <c r="AES41" s="43"/>
      <c r="AET41" s="43"/>
      <c r="AEU41" s="43"/>
      <c r="AEV41" s="43"/>
      <c r="AEW41" s="43"/>
      <c r="AEX41" s="43"/>
      <c r="AEY41" s="43"/>
      <c r="AEZ41" s="43"/>
      <c r="AFA41" s="43"/>
      <c r="AFB41" s="43"/>
      <c r="AFC41" s="43"/>
      <c r="AFD41" s="43"/>
      <c r="AFE41" s="43"/>
      <c r="AFF41" s="43"/>
      <c r="AFG41" s="43"/>
      <c r="AFH41" s="43"/>
      <c r="AFI41" s="43"/>
      <c r="AFJ41" s="43"/>
      <c r="AFK41" s="43"/>
      <c r="AFL41" s="43"/>
      <c r="AFM41" s="43"/>
      <c r="AFN41" s="43"/>
      <c r="AFO41" s="43"/>
      <c r="AFP41" s="43"/>
      <c r="AFQ41" s="43"/>
      <c r="AFR41" s="43"/>
      <c r="AFS41" s="43"/>
      <c r="AFT41" s="43"/>
      <c r="AFU41" s="43"/>
      <c r="AFV41" s="43"/>
      <c r="AFW41" s="43"/>
      <c r="AFX41" s="43"/>
      <c r="AFY41" s="43"/>
      <c r="AFZ41" s="43"/>
      <c r="AGA41" s="43"/>
      <c r="AGB41" s="43"/>
      <c r="AGC41" s="43"/>
      <c r="AGD41" s="43"/>
      <c r="AGE41" s="43"/>
      <c r="AGF41" s="43"/>
      <c r="AGG41" s="43"/>
      <c r="AGH41" s="43"/>
      <c r="AGI41" s="43"/>
      <c r="AGJ41" s="43"/>
      <c r="AGK41" s="43"/>
      <c r="AGL41" s="43"/>
      <c r="AGM41" s="43"/>
      <c r="AGN41" s="43"/>
      <c r="AGO41" s="43"/>
      <c r="AGP41" s="43"/>
      <c r="AGQ41" s="43"/>
      <c r="AGR41" s="43"/>
      <c r="AGS41" s="43"/>
      <c r="AGT41" s="43"/>
      <c r="AGU41" s="43"/>
      <c r="AGV41" s="43"/>
      <c r="AGW41" s="43"/>
      <c r="AGX41" s="43"/>
      <c r="AGY41" s="43"/>
      <c r="AGZ41" s="43"/>
      <c r="AHA41" s="43"/>
      <c r="AHB41" s="43"/>
      <c r="AHC41" s="43"/>
      <c r="AHD41" s="43"/>
      <c r="AHE41" s="43"/>
      <c r="AHF41" s="43"/>
      <c r="AHG41" s="43"/>
      <c r="AHH41" s="43"/>
      <c r="AHI41" s="43"/>
      <c r="AHJ41" s="43"/>
      <c r="AHK41" s="43"/>
      <c r="AHL41" s="43"/>
      <c r="AHM41" s="43"/>
      <c r="AHN41" s="43"/>
      <c r="AHO41" s="43"/>
      <c r="AHP41" s="43"/>
      <c r="AHQ41" s="43"/>
      <c r="AHR41" s="43"/>
      <c r="AHS41" s="43"/>
      <c r="AHT41" s="43"/>
      <c r="AHU41" s="43"/>
      <c r="AHV41" s="43"/>
      <c r="AHW41" s="43"/>
      <c r="AHX41" s="43"/>
      <c r="AHY41" s="43"/>
      <c r="AHZ41" s="43"/>
      <c r="AIA41" s="43"/>
      <c r="AIB41" s="43"/>
      <c r="AIC41" s="43"/>
      <c r="AID41" s="43"/>
      <c r="AIE41" s="43"/>
      <c r="AIF41" s="43"/>
      <c r="AIG41" s="43"/>
      <c r="AIH41" s="43"/>
      <c r="AII41" s="43"/>
      <c r="AIJ41" s="43"/>
      <c r="AIK41" s="43"/>
      <c r="AIL41" s="43"/>
      <c r="AIM41" s="43"/>
      <c r="AIN41" s="43"/>
      <c r="AIO41" s="43"/>
      <c r="AIP41" s="43"/>
      <c r="AIQ41" s="43"/>
      <c r="AIR41" s="43"/>
      <c r="AIS41" s="43"/>
      <c r="AIT41" s="43"/>
      <c r="AIU41" s="43"/>
      <c r="AIV41" s="43"/>
      <c r="AIW41" s="43"/>
      <c r="AIX41" s="43"/>
      <c r="AIY41" s="43"/>
      <c r="AIZ41" s="43"/>
      <c r="AJA41" s="43"/>
      <c r="AJB41" s="43"/>
      <c r="AJC41" s="43"/>
      <c r="AJD41" s="43"/>
      <c r="AJE41" s="43"/>
      <c r="AJF41" s="43"/>
      <c r="AJG41" s="43"/>
      <c r="AJH41" s="43"/>
      <c r="AJI41" s="43"/>
      <c r="AJJ41" s="43"/>
      <c r="AJK41" s="43"/>
      <c r="AJL41" s="43"/>
      <c r="AJM41" s="43"/>
      <c r="AJN41" s="43"/>
      <c r="AJO41" s="43"/>
      <c r="AJP41" s="43"/>
      <c r="AJQ41" s="43"/>
      <c r="AJR41" s="43"/>
      <c r="AJS41" s="43"/>
      <c r="AJT41" s="43"/>
      <c r="AJU41" s="43"/>
      <c r="AJV41" s="43"/>
      <c r="AJW41" s="43"/>
      <c r="AJX41" s="43"/>
      <c r="AJY41" s="43"/>
      <c r="AJZ41" s="43"/>
      <c r="AKA41" s="43"/>
      <c r="AKB41" s="43"/>
      <c r="AKC41" s="43"/>
      <c r="AKD41" s="43"/>
      <c r="AKE41" s="43"/>
      <c r="AKF41" s="43"/>
      <c r="AKG41" s="43"/>
      <c r="AKH41" s="43"/>
      <c r="AKI41" s="43"/>
      <c r="AKJ41" s="43"/>
      <c r="AKK41" s="43"/>
      <c r="AKL41" s="43"/>
      <c r="AKM41" s="43"/>
      <c r="AKN41" s="43"/>
      <c r="AKO41" s="43"/>
      <c r="AKP41" s="43"/>
      <c r="AKQ41" s="43"/>
      <c r="AKR41" s="43"/>
      <c r="AKS41" s="43"/>
      <c r="AKT41" s="43"/>
      <c r="AKU41" s="43"/>
      <c r="AKV41" s="43"/>
      <c r="AKW41" s="43"/>
      <c r="AKX41" s="43"/>
      <c r="AKY41" s="43"/>
      <c r="AKZ41" s="43"/>
      <c r="ALA41" s="43"/>
      <c r="ALB41" s="43"/>
      <c r="ALC41" s="43"/>
      <c r="ALD41" s="43"/>
      <c r="ALE41" s="43"/>
      <c r="ALF41" s="43"/>
      <c r="ALG41" s="43"/>
      <c r="ALH41" s="43"/>
      <c r="ALI41" s="43"/>
      <c r="ALJ41" s="43"/>
      <c r="ALK41" s="43"/>
      <c r="ALL41" s="43"/>
      <c r="ALM41" s="43"/>
      <c r="ALN41" s="43"/>
      <c r="ALO41" s="43"/>
      <c r="ALP41" s="43"/>
      <c r="ALQ41" s="43"/>
      <c r="ALR41" s="43"/>
      <c r="ALS41" s="43"/>
      <c r="ALT41" s="43"/>
      <c r="ALU41" s="43"/>
      <c r="ALV41" s="43"/>
      <c r="ALW41" s="43"/>
      <c r="ALX41" s="43"/>
      <c r="ALY41" s="43"/>
      <c r="ALZ41" s="43"/>
      <c r="AMA41" s="43"/>
      <c r="AMB41" s="43"/>
      <c r="AMC41" s="43"/>
      <c r="AMD41" s="43"/>
      <c r="AME41" s="43"/>
      <c r="AMF41" s="43"/>
      <c r="AMG41" s="43"/>
      <c r="AMH41" s="43"/>
      <c r="AMI41" s="43"/>
      <c r="AMJ41" s="43"/>
    </row>
    <row r="42" spans="1:1024" s="35" customFormat="1" x14ac:dyDescent="0.2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  <c r="IW42" s="43"/>
      <c r="IX42" s="43"/>
      <c r="IY42" s="43"/>
      <c r="IZ42" s="43"/>
      <c r="JA42" s="43"/>
      <c r="JB42" s="43"/>
      <c r="JC42" s="43"/>
      <c r="JD42" s="43"/>
      <c r="JE42" s="43"/>
      <c r="JF42" s="43"/>
      <c r="JG42" s="43"/>
      <c r="JH42" s="43"/>
      <c r="JI42" s="43"/>
      <c r="JJ42" s="43"/>
      <c r="JK42" s="43"/>
      <c r="JL42" s="43"/>
      <c r="JM42" s="43"/>
      <c r="JN42" s="43"/>
      <c r="JO42" s="43"/>
      <c r="JP42" s="43"/>
      <c r="JQ42" s="43"/>
      <c r="JR42" s="43"/>
      <c r="JS42" s="43"/>
      <c r="JT42" s="43"/>
      <c r="JU42" s="43"/>
      <c r="JV42" s="43"/>
      <c r="JW42" s="43"/>
      <c r="JX42" s="43"/>
      <c r="JY42" s="43"/>
      <c r="JZ42" s="43"/>
      <c r="KA42" s="43"/>
      <c r="KB42" s="43"/>
      <c r="KC42" s="43"/>
      <c r="KD42" s="43"/>
      <c r="KE42" s="43"/>
      <c r="KF42" s="43"/>
      <c r="KG42" s="43"/>
      <c r="KH42" s="43"/>
      <c r="KI42" s="43"/>
      <c r="KJ42" s="43"/>
      <c r="KK42" s="43"/>
      <c r="KL42" s="43"/>
      <c r="KM42" s="43"/>
      <c r="KN42" s="43"/>
      <c r="KO42" s="43"/>
      <c r="KP42" s="43"/>
      <c r="KQ42" s="43"/>
      <c r="KR42" s="43"/>
      <c r="KS42" s="43"/>
      <c r="KT42" s="43"/>
      <c r="KU42" s="43"/>
      <c r="KV42" s="43"/>
      <c r="KW42" s="43"/>
      <c r="KX42" s="43"/>
      <c r="KY42" s="43"/>
      <c r="KZ42" s="43"/>
      <c r="LA42" s="43"/>
      <c r="LB42" s="43"/>
      <c r="LC42" s="43"/>
      <c r="LD42" s="43"/>
      <c r="LE42" s="43"/>
      <c r="LF42" s="43"/>
      <c r="LG42" s="43"/>
      <c r="LH42" s="43"/>
      <c r="LI42" s="43"/>
      <c r="LJ42" s="43"/>
      <c r="LK42" s="43"/>
      <c r="LL42" s="43"/>
      <c r="LM42" s="43"/>
      <c r="LN42" s="43"/>
      <c r="LO42" s="43"/>
      <c r="LP42" s="43"/>
      <c r="LQ42" s="43"/>
      <c r="LR42" s="43"/>
      <c r="LS42" s="43"/>
      <c r="LT42" s="43"/>
      <c r="LU42" s="43"/>
      <c r="LV42" s="43"/>
      <c r="LW42" s="43"/>
      <c r="LX42" s="43"/>
      <c r="LY42" s="43"/>
      <c r="LZ42" s="43"/>
      <c r="MA42" s="43"/>
      <c r="MB42" s="43"/>
      <c r="MC42" s="43"/>
      <c r="MD42" s="43"/>
      <c r="ME42" s="43"/>
      <c r="MF42" s="43"/>
      <c r="MG42" s="43"/>
      <c r="MH42" s="43"/>
      <c r="MI42" s="43"/>
      <c r="MJ42" s="43"/>
      <c r="MK42" s="43"/>
      <c r="ML42" s="43"/>
      <c r="MM42" s="43"/>
      <c r="MN42" s="43"/>
      <c r="MO42" s="43"/>
      <c r="MP42" s="43"/>
      <c r="MQ42" s="43"/>
      <c r="MR42" s="43"/>
      <c r="MS42" s="43"/>
      <c r="MT42" s="43"/>
      <c r="MU42" s="43"/>
      <c r="MV42" s="43"/>
      <c r="MW42" s="43"/>
      <c r="MX42" s="43"/>
      <c r="MY42" s="43"/>
      <c r="MZ42" s="43"/>
      <c r="NA42" s="43"/>
      <c r="NB42" s="43"/>
      <c r="NC42" s="43"/>
      <c r="ND42" s="43"/>
      <c r="NE42" s="43"/>
      <c r="NF42" s="43"/>
      <c r="NG42" s="43"/>
      <c r="NH42" s="43"/>
      <c r="NI42" s="43"/>
      <c r="NJ42" s="43"/>
      <c r="NK42" s="43"/>
      <c r="NL42" s="43"/>
      <c r="NM42" s="43"/>
      <c r="NN42" s="43"/>
      <c r="NO42" s="43"/>
      <c r="NP42" s="43"/>
      <c r="NQ42" s="43"/>
      <c r="NR42" s="43"/>
      <c r="NS42" s="43"/>
      <c r="NT42" s="43"/>
      <c r="NU42" s="43"/>
      <c r="NV42" s="43"/>
      <c r="NW42" s="43"/>
      <c r="NX42" s="43"/>
      <c r="NY42" s="43"/>
      <c r="NZ42" s="43"/>
      <c r="OA42" s="43"/>
      <c r="OB42" s="43"/>
      <c r="OC42" s="43"/>
      <c r="OD42" s="43"/>
      <c r="OE42" s="43"/>
      <c r="OF42" s="43"/>
      <c r="OG42" s="43"/>
      <c r="OH42" s="43"/>
      <c r="OI42" s="43"/>
      <c r="OJ42" s="43"/>
      <c r="OK42" s="43"/>
      <c r="OL42" s="43"/>
      <c r="OM42" s="43"/>
      <c r="ON42" s="43"/>
      <c r="OO42" s="43"/>
      <c r="OP42" s="43"/>
      <c r="OQ42" s="43"/>
      <c r="OR42" s="43"/>
      <c r="OS42" s="43"/>
      <c r="OT42" s="43"/>
      <c r="OU42" s="43"/>
      <c r="OV42" s="43"/>
      <c r="OW42" s="43"/>
      <c r="OX42" s="43"/>
      <c r="OY42" s="43"/>
      <c r="OZ42" s="43"/>
      <c r="PA42" s="43"/>
      <c r="PB42" s="43"/>
      <c r="PC42" s="43"/>
      <c r="PD42" s="43"/>
      <c r="PE42" s="43"/>
      <c r="PF42" s="43"/>
      <c r="PG42" s="43"/>
      <c r="PH42" s="43"/>
      <c r="PI42" s="43"/>
      <c r="PJ42" s="43"/>
      <c r="PK42" s="43"/>
      <c r="PL42" s="43"/>
      <c r="PM42" s="43"/>
      <c r="PN42" s="43"/>
      <c r="PO42" s="43"/>
      <c r="PP42" s="43"/>
      <c r="PQ42" s="43"/>
      <c r="PR42" s="43"/>
      <c r="PS42" s="43"/>
      <c r="PT42" s="43"/>
      <c r="PU42" s="43"/>
      <c r="PV42" s="43"/>
      <c r="PW42" s="43"/>
      <c r="PX42" s="43"/>
      <c r="PY42" s="43"/>
      <c r="PZ42" s="43"/>
      <c r="QA42" s="43"/>
      <c r="QB42" s="43"/>
      <c r="QC42" s="43"/>
      <c r="QD42" s="43"/>
      <c r="QE42" s="43"/>
      <c r="QF42" s="43"/>
      <c r="QG42" s="43"/>
      <c r="QH42" s="43"/>
      <c r="QI42" s="43"/>
      <c r="QJ42" s="43"/>
      <c r="QK42" s="43"/>
      <c r="QL42" s="43"/>
      <c r="QM42" s="43"/>
      <c r="QN42" s="43"/>
      <c r="QO42" s="43"/>
      <c r="QP42" s="43"/>
      <c r="QQ42" s="43"/>
      <c r="QR42" s="43"/>
      <c r="QS42" s="43"/>
      <c r="QT42" s="43"/>
      <c r="QU42" s="43"/>
      <c r="QV42" s="43"/>
      <c r="QW42" s="43"/>
      <c r="QX42" s="43"/>
      <c r="QY42" s="43"/>
      <c r="QZ42" s="43"/>
      <c r="RA42" s="43"/>
      <c r="RB42" s="43"/>
      <c r="RC42" s="43"/>
      <c r="RD42" s="43"/>
      <c r="RE42" s="43"/>
      <c r="RF42" s="43"/>
      <c r="RG42" s="43"/>
      <c r="RH42" s="43"/>
      <c r="RI42" s="43"/>
      <c r="RJ42" s="43"/>
      <c r="RK42" s="43"/>
      <c r="RL42" s="43"/>
      <c r="RM42" s="43"/>
      <c r="RN42" s="43"/>
      <c r="RO42" s="43"/>
      <c r="RP42" s="43"/>
      <c r="RQ42" s="43"/>
      <c r="RR42" s="43"/>
      <c r="RS42" s="43"/>
      <c r="RT42" s="43"/>
      <c r="RU42" s="43"/>
      <c r="RV42" s="43"/>
      <c r="RW42" s="43"/>
      <c r="RX42" s="43"/>
      <c r="RY42" s="43"/>
      <c r="RZ42" s="43"/>
      <c r="SA42" s="43"/>
      <c r="SB42" s="43"/>
      <c r="SC42" s="43"/>
      <c r="SD42" s="43"/>
      <c r="SE42" s="43"/>
      <c r="SF42" s="43"/>
      <c r="SG42" s="43"/>
      <c r="SH42" s="43"/>
      <c r="SI42" s="43"/>
      <c r="SJ42" s="43"/>
      <c r="SK42" s="43"/>
      <c r="SL42" s="43"/>
      <c r="SM42" s="43"/>
      <c r="SN42" s="43"/>
      <c r="SO42" s="43"/>
      <c r="SP42" s="43"/>
      <c r="SQ42" s="43"/>
      <c r="SR42" s="43"/>
      <c r="SS42" s="43"/>
      <c r="ST42" s="43"/>
      <c r="SU42" s="43"/>
      <c r="SV42" s="43"/>
      <c r="SW42" s="43"/>
      <c r="SX42" s="43"/>
      <c r="SY42" s="43"/>
      <c r="SZ42" s="43"/>
      <c r="TA42" s="43"/>
      <c r="TB42" s="43"/>
      <c r="TC42" s="43"/>
      <c r="TD42" s="43"/>
      <c r="TE42" s="43"/>
      <c r="TF42" s="43"/>
      <c r="TG42" s="43"/>
      <c r="TH42" s="43"/>
      <c r="TI42" s="43"/>
      <c r="TJ42" s="43"/>
      <c r="TK42" s="43"/>
      <c r="TL42" s="43"/>
      <c r="TM42" s="43"/>
      <c r="TN42" s="43"/>
      <c r="TO42" s="43"/>
      <c r="TP42" s="43"/>
      <c r="TQ42" s="43"/>
      <c r="TR42" s="43"/>
      <c r="TS42" s="43"/>
      <c r="TT42" s="43"/>
      <c r="TU42" s="43"/>
      <c r="TV42" s="43"/>
      <c r="TW42" s="43"/>
      <c r="TX42" s="43"/>
      <c r="TY42" s="43"/>
      <c r="TZ42" s="43"/>
      <c r="UA42" s="43"/>
      <c r="UB42" s="43"/>
      <c r="UC42" s="43"/>
      <c r="UD42" s="43"/>
      <c r="UE42" s="43"/>
      <c r="UF42" s="43"/>
      <c r="UG42" s="43"/>
      <c r="UH42" s="43"/>
      <c r="UI42" s="43"/>
      <c r="UJ42" s="43"/>
      <c r="UK42" s="43"/>
      <c r="UL42" s="43"/>
      <c r="UM42" s="43"/>
      <c r="UN42" s="43"/>
      <c r="UO42" s="43"/>
      <c r="UP42" s="43"/>
      <c r="UQ42" s="43"/>
      <c r="UR42" s="43"/>
      <c r="US42" s="43"/>
      <c r="UT42" s="43"/>
      <c r="UU42" s="43"/>
      <c r="UV42" s="43"/>
      <c r="UW42" s="43"/>
      <c r="UX42" s="43"/>
      <c r="UY42" s="43"/>
      <c r="UZ42" s="43"/>
      <c r="VA42" s="43"/>
      <c r="VB42" s="43"/>
      <c r="VC42" s="43"/>
      <c r="VD42" s="43"/>
      <c r="VE42" s="43"/>
      <c r="VF42" s="43"/>
      <c r="VG42" s="43"/>
      <c r="VH42" s="43"/>
      <c r="VI42" s="43"/>
      <c r="VJ42" s="43"/>
      <c r="VK42" s="43"/>
      <c r="VL42" s="43"/>
      <c r="VM42" s="43"/>
      <c r="VN42" s="43"/>
      <c r="VO42" s="43"/>
      <c r="VP42" s="43"/>
      <c r="VQ42" s="43"/>
      <c r="VR42" s="43"/>
      <c r="VS42" s="43"/>
      <c r="VT42" s="43"/>
      <c r="VU42" s="43"/>
      <c r="VV42" s="43"/>
      <c r="VW42" s="43"/>
      <c r="VX42" s="43"/>
      <c r="VY42" s="43"/>
      <c r="VZ42" s="43"/>
      <c r="WA42" s="43"/>
      <c r="WB42" s="43"/>
      <c r="WC42" s="43"/>
      <c r="WD42" s="43"/>
      <c r="WE42" s="43"/>
      <c r="WF42" s="43"/>
      <c r="WG42" s="43"/>
      <c r="WH42" s="43"/>
      <c r="WI42" s="43"/>
      <c r="WJ42" s="43"/>
      <c r="WK42" s="43"/>
      <c r="WL42" s="43"/>
      <c r="WM42" s="43"/>
      <c r="WN42" s="43"/>
      <c r="WO42" s="43"/>
      <c r="WP42" s="43"/>
      <c r="WQ42" s="43"/>
      <c r="WR42" s="43"/>
      <c r="WS42" s="43"/>
      <c r="WT42" s="43"/>
      <c r="WU42" s="43"/>
      <c r="WV42" s="43"/>
      <c r="WW42" s="43"/>
      <c r="WX42" s="43"/>
      <c r="WY42" s="43"/>
      <c r="WZ42" s="43"/>
      <c r="XA42" s="43"/>
      <c r="XB42" s="43"/>
      <c r="XC42" s="43"/>
      <c r="XD42" s="43"/>
      <c r="XE42" s="43"/>
      <c r="XF42" s="43"/>
      <c r="XG42" s="43"/>
      <c r="XH42" s="43"/>
      <c r="XI42" s="43"/>
      <c r="XJ42" s="43"/>
      <c r="XK42" s="43"/>
      <c r="XL42" s="43"/>
      <c r="XM42" s="43"/>
      <c r="XN42" s="43"/>
      <c r="XO42" s="43"/>
      <c r="XP42" s="43"/>
      <c r="XQ42" s="43"/>
      <c r="XR42" s="43"/>
      <c r="XS42" s="43"/>
      <c r="XT42" s="43"/>
      <c r="XU42" s="43"/>
      <c r="XV42" s="43"/>
      <c r="XW42" s="43"/>
      <c r="XX42" s="43"/>
      <c r="XY42" s="43"/>
      <c r="XZ42" s="43"/>
      <c r="YA42" s="43"/>
      <c r="YB42" s="43"/>
      <c r="YC42" s="43"/>
      <c r="YD42" s="43"/>
      <c r="YE42" s="43"/>
      <c r="YF42" s="43"/>
      <c r="YG42" s="43"/>
      <c r="YH42" s="43"/>
      <c r="YI42" s="43"/>
      <c r="YJ42" s="43"/>
      <c r="YK42" s="43"/>
      <c r="YL42" s="43"/>
      <c r="YM42" s="43"/>
      <c r="YN42" s="43"/>
      <c r="YO42" s="43"/>
      <c r="YP42" s="43"/>
      <c r="YQ42" s="43"/>
      <c r="YR42" s="43"/>
      <c r="YS42" s="43"/>
      <c r="YT42" s="43"/>
      <c r="YU42" s="43"/>
      <c r="YV42" s="43"/>
      <c r="YW42" s="43"/>
      <c r="YX42" s="43"/>
      <c r="YY42" s="43"/>
      <c r="YZ42" s="43"/>
      <c r="ZA42" s="43"/>
      <c r="ZB42" s="43"/>
      <c r="ZC42" s="43"/>
      <c r="ZD42" s="43"/>
      <c r="ZE42" s="43"/>
      <c r="ZF42" s="43"/>
      <c r="ZG42" s="43"/>
      <c r="ZH42" s="43"/>
      <c r="ZI42" s="43"/>
      <c r="ZJ42" s="43"/>
      <c r="ZK42" s="43"/>
      <c r="ZL42" s="43"/>
      <c r="ZM42" s="43"/>
      <c r="ZN42" s="43"/>
      <c r="ZO42" s="43"/>
      <c r="ZP42" s="43"/>
      <c r="ZQ42" s="43"/>
      <c r="ZR42" s="43"/>
      <c r="ZS42" s="43"/>
      <c r="ZT42" s="43"/>
      <c r="ZU42" s="43"/>
      <c r="ZV42" s="43"/>
      <c r="ZW42" s="43"/>
      <c r="ZX42" s="43"/>
      <c r="ZY42" s="43"/>
      <c r="ZZ42" s="43"/>
      <c r="AAA42" s="43"/>
      <c r="AAB42" s="43"/>
      <c r="AAC42" s="43"/>
      <c r="AAD42" s="43"/>
      <c r="AAE42" s="43"/>
      <c r="AAF42" s="43"/>
      <c r="AAG42" s="43"/>
      <c r="AAH42" s="43"/>
      <c r="AAI42" s="43"/>
      <c r="AAJ42" s="43"/>
      <c r="AAK42" s="43"/>
      <c r="AAL42" s="43"/>
      <c r="AAM42" s="43"/>
      <c r="AAN42" s="43"/>
      <c r="AAO42" s="43"/>
      <c r="AAP42" s="43"/>
      <c r="AAQ42" s="43"/>
      <c r="AAR42" s="43"/>
      <c r="AAS42" s="43"/>
      <c r="AAT42" s="43"/>
      <c r="AAU42" s="43"/>
      <c r="AAV42" s="43"/>
      <c r="AAW42" s="43"/>
      <c r="AAX42" s="43"/>
      <c r="AAY42" s="43"/>
      <c r="AAZ42" s="43"/>
      <c r="ABA42" s="43"/>
      <c r="ABB42" s="43"/>
      <c r="ABC42" s="43"/>
      <c r="ABD42" s="43"/>
      <c r="ABE42" s="43"/>
      <c r="ABF42" s="43"/>
      <c r="ABG42" s="43"/>
      <c r="ABH42" s="43"/>
      <c r="ABI42" s="43"/>
      <c r="ABJ42" s="43"/>
      <c r="ABK42" s="43"/>
      <c r="ABL42" s="43"/>
      <c r="ABM42" s="43"/>
      <c r="ABN42" s="43"/>
      <c r="ABO42" s="43"/>
      <c r="ABP42" s="43"/>
      <c r="ABQ42" s="43"/>
      <c r="ABR42" s="43"/>
      <c r="ABS42" s="43"/>
      <c r="ABT42" s="43"/>
      <c r="ABU42" s="43"/>
      <c r="ABV42" s="43"/>
      <c r="ABW42" s="43"/>
      <c r="ABX42" s="43"/>
      <c r="ABY42" s="43"/>
      <c r="ABZ42" s="43"/>
      <c r="ACA42" s="43"/>
      <c r="ACB42" s="43"/>
      <c r="ACC42" s="43"/>
      <c r="ACD42" s="43"/>
      <c r="ACE42" s="43"/>
      <c r="ACF42" s="43"/>
      <c r="ACG42" s="43"/>
      <c r="ACH42" s="43"/>
      <c r="ACI42" s="43"/>
      <c r="ACJ42" s="43"/>
      <c r="ACK42" s="43"/>
      <c r="ACL42" s="43"/>
      <c r="ACM42" s="43"/>
      <c r="ACN42" s="43"/>
      <c r="ACO42" s="43"/>
      <c r="ACP42" s="43"/>
      <c r="ACQ42" s="43"/>
      <c r="ACR42" s="43"/>
      <c r="ACS42" s="43"/>
      <c r="ACT42" s="43"/>
      <c r="ACU42" s="43"/>
      <c r="ACV42" s="43"/>
      <c r="ACW42" s="43"/>
      <c r="ACX42" s="43"/>
      <c r="ACY42" s="43"/>
      <c r="ACZ42" s="43"/>
      <c r="ADA42" s="43"/>
      <c r="ADB42" s="43"/>
      <c r="ADC42" s="43"/>
      <c r="ADD42" s="43"/>
      <c r="ADE42" s="43"/>
      <c r="ADF42" s="43"/>
      <c r="ADG42" s="43"/>
      <c r="ADH42" s="43"/>
      <c r="ADI42" s="43"/>
      <c r="ADJ42" s="43"/>
      <c r="ADK42" s="43"/>
      <c r="ADL42" s="43"/>
      <c r="ADM42" s="43"/>
      <c r="ADN42" s="43"/>
      <c r="ADO42" s="43"/>
      <c r="ADP42" s="43"/>
      <c r="ADQ42" s="43"/>
      <c r="ADR42" s="43"/>
      <c r="ADS42" s="43"/>
      <c r="ADT42" s="43"/>
      <c r="ADU42" s="43"/>
      <c r="ADV42" s="43"/>
      <c r="ADW42" s="43"/>
      <c r="ADX42" s="43"/>
      <c r="ADY42" s="43"/>
      <c r="ADZ42" s="43"/>
      <c r="AEA42" s="43"/>
      <c r="AEB42" s="43"/>
      <c r="AEC42" s="43"/>
      <c r="AED42" s="43"/>
      <c r="AEE42" s="43"/>
      <c r="AEF42" s="43"/>
      <c r="AEG42" s="43"/>
      <c r="AEH42" s="43"/>
      <c r="AEI42" s="43"/>
      <c r="AEJ42" s="43"/>
      <c r="AEK42" s="43"/>
      <c r="AEL42" s="43"/>
      <c r="AEM42" s="43"/>
      <c r="AEN42" s="43"/>
      <c r="AEO42" s="43"/>
      <c r="AEP42" s="43"/>
      <c r="AEQ42" s="43"/>
      <c r="AER42" s="43"/>
      <c r="AES42" s="43"/>
      <c r="AET42" s="43"/>
      <c r="AEU42" s="43"/>
      <c r="AEV42" s="43"/>
      <c r="AEW42" s="43"/>
      <c r="AEX42" s="43"/>
      <c r="AEY42" s="43"/>
      <c r="AEZ42" s="43"/>
      <c r="AFA42" s="43"/>
      <c r="AFB42" s="43"/>
      <c r="AFC42" s="43"/>
      <c r="AFD42" s="43"/>
      <c r="AFE42" s="43"/>
      <c r="AFF42" s="43"/>
      <c r="AFG42" s="43"/>
      <c r="AFH42" s="43"/>
      <c r="AFI42" s="43"/>
      <c r="AFJ42" s="43"/>
      <c r="AFK42" s="43"/>
      <c r="AFL42" s="43"/>
      <c r="AFM42" s="43"/>
      <c r="AFN42" s="43"/>
      <c r="AFO42" s="43"/>
      <c r="AFP42" s="43"/>
      <c r="AFQ42" s="43"/>
      <c r="AFR42" s="43"/>
      <c r="AFS42" s="43"/>
      <c r="AFT42" s="43"/>
      <c r="AFU42" s="43"/>
      <c r="AFV42" s="43"/>
      <c r="AFW42" s="43"/>
      <c r="AFX42" s="43"/>
      <c r="AFY42" s="43"/>
      <c r="AFZ42" s="43"/>
      <c r="AGA42" s="43"/>
      <c r="AGB42" s="43"/>
      <c r="AGC42" s="43"/>
      <c r="AGD42" s="43"/>
      <c r="AGE42" s="43"/>
      <c r="AGF42" s="43"/>
      <c r="AGG42" s="43"/>
      <c r="AGH42" s="43"/>
      <c r="AGI42" s="43"/>
      <c r="AGJ42" s="43"/>
      <c r="AGK42" s="43"/>
      <c r="AGL42" s="43"/>
      <c r="AGM42" s="43"/>
      <c r="AGN42" s="43"/>
      <c r="AGO42" s="43"/>
      <c r="AGP42" s="43"/>
      <c r="AGQ42" s="43"/>
      <c r="AGR42" s="43"/>
      <c r="AGS42" s="43"/>
      <c r="AGT42" s="43"/>
      <c r="AGU42" s="43"/>
      <c r="AGV42" s="43"/>
      <c r="AGW42" s="43"/>
      <c r="AGX42" s="43"/>
      <c r="AGY42" s="43"/>
      <c r="AGZ42" s="43"/>
      <c r="AHA42" s="43"/>
      <c r="AHB42" s="43"/>
      <c r="AHC42" s="43"/>
      <c r="AHD42" s="43"/>
      <c r="AHE42" s="43"/>
      <c r="AHF42" s="43"/>
      <c r="AHG42" s="43"/>
      <c r="AHH42" s="43"/>
      <c r="AHI42" s="43"/>
      <c r="AHJ42" s="43"/>
      <c r="AHK42" s="43"/>
      <c r="AHL42" s="43"/>
      <c r="AHM42" s="43"/>
      <c r="AHN42" s="43"/>
      <c r="AHO42" s="43"/>
      <c r="AHP42" s="43"/>
      <c r="AHQ42" s="43"/>
      <c r="AHR42" s="43"/>
      <c r="AHS42" s="43"/>
      <c r="AHT42" s="43"/>
      <c r="AHU42" s="43"/>
      <c r="AHV42" s="43"/>
      <c r="AHW42" s="43"/>
      <c r="AHX42" s="43"/>
      <c r="AHY42" s="43"/>
      <c r="AHZ42" s="43"/>
      <c r="AIA42" s="43"/>
      <c r="AIB42" s="43"/>
      <c r="AIC42" s="43"/>
      <c r="AID42" s="43"/>
      <c r="AIE42" s="43"/>
      <c r="AIF42" s="43"/>
      <c r="AIG42" s="43"/>
      <c r="AIH42" s="43"/>
      <c r="AII42" s="43"/>
      <c r="AIJ42" s="43"/>
      <c r="AIK42" s="43"/>
      <c r="AIL42" s="43"/>
      <c r="AIM42" s="43"/>
      <c r="AIN42" s="43"/>
      <c r="AIO42" s="43"/>
      <c r="AIP42" s="43"/>
      <c r="AIQ42" s="43"/>
      <c r="AIR42" s="43"/>
      <c r="AIS42" s="43"/>
      <c r="AIT42" s="43"/>
      <c r="AIU42" s="43"/>
      <c r="AIV42" s="43"/>
      <c r="AIW42" s="43"/>
      <c r="AIX42" s="43"/>
      <c r="AIY42" s="43"/>
      <c r="AIZ42" s="43"/>
      <c r="AJA42" s="43"/>
      <c r="AJB42" s="43"/>
      <c r="AJC42" s="43"/>
      <c r="AJD42" s="43"/>
      <c r="AJE42" s="43"/>
      <c r="AJF42" s="43"/>
      <c r="AJG42" s="43"/>
      <c r="AJH42" s="43"/>
      <c r="AJI42" s="43"/>
      <c r="AJJ42" s="43"/>
      <c r="AJK42" s="43"/>
      <c r="AJL42" s="43"/>
      <c r="AJM42" s="43"/>
      <c r="AJN42" s="43"/>
      <c r="AJO42" s="43"/>
      <c r="AJP42" s="43"/>
      <c r="AJQ42" s="43"/>
      <c r="AJR42" s="43"/>
      <c r="AJS42" s="43"/>
      <c r="AJT42" s="43"/>
      <c r="AJU42" s="43"/>
      <c r="AJV42" s="43"/>
      <c r="AJW42" s="43"/>
      <c r="AJX42" s="43"/>
      <c r="AJY42" s="43"/>
      <c r="AJZ42" s="43"/>
      <c r="AKA42" s="43"/>
      <c r="AKB42" s="43"/>
      <c r="AKC42" s="43"/>
      <c r="AKD42" s="43"/>
      <c r="AKE42" s="43"/>
      <c r="AKF42" s="43"/>
      <c r="AKG42" s="43"/>
      <c r="AKH42" s="43"/>
      <c r="AKI42" s="43"/>
      <c r="AKJ42" s="43"/>
      <c r="AKK42" s="43"/>
      <c r="AKL42" s="43"/>
      <c r="AKM42" s="43"/>
      <c r="AKN42" s="43"/>
      <c r="AKO42" s="43"/>
      <c r="AKP42" s="43"/>
      <c r="AKQ42" s="43"/>
      <c r="AKR42" s="43"/>
      <c r="AKS42" s="43"/>
      <c r="AKT42" s="43"/>
      <c r="AKU42" s="43"/>
      <c r="AKV42" s="43"/>
      <c r="AKW42" s="43"/>
      <c r="AKX42" s="43"/>
      <c r="AKY42" s="43"/>
      <c r="AKZ42" s="43"/>
      <c r="ALA42" s="43"/>
      <c r="ALB42" s="43"/>
      <c r="ALC42" s="43"/>
      <c r="ALD42" s="43"/>
      <c r="ALE42" s="43"/>
      <c r="ALF42" s="43"/>
      <c r="ALG42" s="43"/>
      <c r="ALH42" s="43"/>
      <c r="ALI42" s="43"/>
      <c r="ALJ42" s="43"/>
      <c r="ALK42" s="43"/>
      <c r="ALL42" s="43"/>
      <c r="ALM42" s="43"/>
      <c r="ALN42" s="43"/>
      <c r="ALO42" s="43"/>
      <c r="ALP42" s="43"/>
      <c r="ALQ42" s="43"/>
      <c r="ALR42" s="43"/>
      <c r="ALS42" s="43"/>
      <c r="ALT42" s="43"/>
      <c r="ALU42" s="43"/>
      <c r="ALV42" s="43"/>
      <c r="ALW42" s="43"/>
      <c r="ALX42" s="43"/>
      <c r="ALY42" s="43"/>
      <c r="ALZ42" s="43"/>
      <c r="AMA42" s="43"/>
      <c r="AMB42" s="43"/>
      <c r="AMC42" s="43"/>
      <c r="AMD42" s="43"/>
      <c r="AME42" s="43"/>
      <c r="AMF42" s="43"/>
      <c r="AMG42" s="43"/>
      <c r="AMH42" s="43"/>
      <c r="AMI42" s="43"/>
      <c r="AMJ42" s="43"/>
    </row>
    <row r="43" spans="1:1024" s="35" customFormat="1" x14ac:dyDescent="0.25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  <c r="IW43" s="43"/>
      <c r="IX43" s="43"/>
      <c r="IY43" s="43"/>
      <c r="IZ43" s="43"/>
      <c r="JA43" s="43"/>
      <c r="JB43" s="43"/>
      <c r="JC43" s="43"/>
      <c r="JD43" s="43"/>
      <c r="JE43" s="43"/>
      <c r="JF43" s="43"/>
      <c r="JG43" s="43"/>
      <c r="JH43" s="43"/>
      <c r="JI43" s="43"/>
      <c r="JJ43" s="43"/>
      <c r="JK43" s="43"/>
      <c r="JL43" s="43"/>
      <c r="JM43" s="43"/>
      <c r="JN43" s="43"/>
      <c r="JO43" s="43"/>
      <c r="JP43" s="43"/>
      <c r="JQ43" s="43"/>
      <c r="JR43" s="43"/>
      <c r="JS43" s="43"/>
      <c r="JT43" s="43"/>
      <c r="JU43" s="43"/>
      <c r="JV43" s="43"/>
      <c r="JW43" s="43"/>
      <c r="JX43" s="43"/>
      <c r="JY43" s="43"/>
      <c r="JZ43" s="43"/>
      <c r="KA43" s="43"/>
      <c r="KB43" s="43"/>
      <c r="KC43" s="43"/>
      <c r="KD43" s="43"/>
      <c r="KE43" s="43"/>
      <c r="KF43" s="43"/>
      <c r="KG43" s="43"/>
      <c r="KH43" s="43"/>
      <c r="KI43" s="43"/>
      <c r="KJ43" s="43"/>
      <c r="KK43" s="43"/>
      <c r="KL43" s="43"/>
      <c r="KM43" s="43"/>
      <c r="KN43" s="43"/>
      <c r="KO43" s="43"/>
      <c r="KP43" s="43"/>
      <c r="KQ43" s="43"/>
      <c r="KR43" s="43"/>
      <c r="KS43" s="43"/>
      <c r="KT43" s="43"/>
      <c r="KU43" s="43"/>
      <c r="KV43" s="43"/>
      <c r="KW43" s="43"/>
      <c r="KX43" s="43"/>
      <c r="KY43" s="43"/>
      <c r="KZ43" s="43"/>
      <c r="LA43" s="43"/>
      <c r="LB43" s="43"/>
      <c r="LC43" s="43"/>
      <c r="LD43" s="43"/>
      <c r="LE43" s="43"/>
      <c r="LF43" s="43"/>
      <c r="LG43" s="43"/>
      <c r="LH43" s="43"/>
      <c r="LI43" s="43"/>
      <c r="LJ43" s="43"/>
      <c r="LK43" s="43"/>
      <c r="LL43" s="43"/>
      <c r="LM43" s="43"/>
      <c r="LN43" s="43"/>
      <c r="LO43" s="43"/>
      <c r="LP43" s="43"/>
      <c r="LQ43" s="43"/>
      <c r="LR43" s="43"/>
      <c r="LS43" s="43"/>
      <c r="LT43" s="43"/>
      <c r="LU43" s="43"/>
      <c r="LV43" s="43"/>
      <c r="LW43" s="43"/>
      <c r="LX43" s="43"/>
      <c r="LY43" s="43"/>
      <c r="LZ43" s="43"/>
      <c r="MA43" s="43"/>
      <c r="MB43" s="43"/>
      <c r="MC43" s="43"/>
      <c r="MD43" s="43"/>
      <c r="ME43" s="43"/>
      <c r="MF43" s="43"/>
      <c r="MG43" s="43"/>
      <c r="MH43" s="43"/>
      <c r="MI43" s="43"/>
      <c r="MJ43" s="43"/>
      <c r="MK43" s="43"/>
      <c r="ML43" s="43"/>
      <c r="MM43" s="43"/>
      <c r="MN43" s="43"/>
      <c r="MO43" s="43"/>
      <c r="MP43" s="43"/>
      <c r="MQ43" s="43"/>
      <c r="MR43" s="43"/>
      <c r="MS43" s="43"/>
      <c r="MT43" s="43"/>
      <c r="MU43" s="43"/>
      <c r="MV43" s="43"/>
      <c r="MW43" s="43"/>
      <c r="MX43" s="43"/>
      <c r="MY43" s="43"/>
      <c r="MZ43" s="43"/>
      <c r="NA43" s="43"/>
      <c r="NB43" s="43"/>
      <c r="NC43" s="43"/>
      <c r="ND43" s="43"/>
      <c r="NE43" s="43"/>
      <c r="NF43" s="43"/>
      <c r="NG43" s="43"/>
      <c r="NH43" s="43"/>
      <c r="NI43" s="43"/>
      <c r="NJ43" s="43"/>
      <c r="NK43" s="43"/>
      <c r="NL43" s="43"/>
      <c r="NM43" s="43"/>
      <c r="NN43" s="43"/>
      <c r="NO43" s="43"/>
      <c r="NP43" s="43"/>
      <c r="NQ43" s="43"/>
      <c r="NR43" s="43"/>
      <c r="NS43" s="43"/>
      <c r="NT43" s="43"/>
      <c r="NU43" s="43"/>
      <c r="NV43" s="43"/>
      <c r="NW43" s="43"/>
      <c r="NX43" s="43"/>
      <c r="NY43" s="43"/>
      <c r="NZ43" s="43"/>
      <c r="OA43" s="43"/>
      <c r="OB43" s="43"/>
      <c r="OC43" s="43"/>
      <c r="OD43" s="43"/>
      <c r="OE43" s="43"/>
      <c r="OF43" s="43"/>
      <c r="OG43" s="43"/>
      <c r="OH43" s="43"/>
      <c r="OI43" s="43"/>
      <c r="OJ43" s="43"/>
      <c r="OK43" s="43"/>
      <c r="OL43" s="43"/>
      <c r="OM43" s="43"/>
      <c r="ON43" s="43"/>
      <c r="OO43" s="43"/>
      <c r="OP43" s="43"/>
      <c r="OQ43" s="43"/>
      <c r="OR43" s="43"/>
      <c r="OS43" s="43"/>
      <c r="OT43" s="43"/>
      <c r="OU43" s="43"/>
      <c r="OV43" s="43"/>
      <c r="OW43" s="43"/>
      <c r="OX43" s="43"/>
      <c r="OY43" s="43"/>
      <c r="OZ43" s="43"/>
      <c r="PA43" s="43"/>
      <c r="PB43" s="43"/>
      <c r="PC43" s="43"/>
      <c r="PD43" s="43"/>
      <c r="PE43" s="43"/>
      <c r="PF43" s="43"/>
      <c r="PG43" s="43"/>
      <c r="PH43" s="43"/>
      <c r="PI43" s="43"/>
      <c r="PJ43" s="43"/>
      <c r="PK43" s="43"/>
      <c r="PL43" s="43"/>
      <c r="PM43" s="43"/>
      <c r="PN43" s="43"/>
      <c r="PO43" s="43"/>
      <c r="PP43" s="43"/>
      <c r="PQ43" s="43"/>
      <c r="PR43" s="43"/>
      <c r="PS43" s="43"/>
      <c r="PT43" s="43"/>
      <c r="PU43" s="43"/>
      <c r="PV43" s="43"/>
      <c r="PW43" s="43"/>
      <c r="PX43" s="43"/>
      <c r="PY43" s="43"/>
      <c r="PZ43" s="43"/>
      <c r="QA43" s="43"/>
      <c r="QB43" s="43"/>
      <c r="QC43" s="43"/>
      <c r="QD43" s="43"/>
      <c r="QE43" s="43"/>
      <c r="QF43" s="43"/>
      <c r="QG43" s="43"/>
      <c r="QH43" s="43"/>
      <c r="QI43" s="43"/>
      <c r="QJ43" s="43"/>
      <c r="QK43" s="43"/>
      <c r="QL43" s="43"/>
      <c r="QM43" s="43"/>
      <c r="QN43" s="43"/>
      <c r="QO43" s="43"/>
      <c r="QP43" s="43"/>
      <c r="QQ43" s="43"/>
      <c r="QR43" s="43"/>
      <c r="QS43" s="43"/>
      <c r="QT43" s="43"/>
      <c r="QU43" s="43"/>
      <c r="QV43" s="43"/>
      <c r="QW43" s="43"/>
      <c r="QX43" s="43"/>
      <c r="QY43" s="43"/>
      <c r="QZ43" s="43"/>
      <c r="RA43" s="43"/>
      <c r="RB43" s="43"/>
      <c r="RC43" s="43"/>
      <c r="RD43" s="43"/>
      <c r="RE43" s="43"/>
      <c r="RF43" s="43"/>
      <c r="RG43" s="43"/>
      <c r="RH43" s="43"/>
      <c r="RI43" s="43"/>
      <c r="RJ43" s="43"/>
      <c r="RK43" s="43"/>
      <c r="RL43" s="43"/>
      <c r="RM43" s="43"/>
      <c r="RN43" s="43"/>
      <c r="RO43" s="43"/>
      <c r="RP43" s="43"/>
      <c r="RQ43" s="43"/>
      <c r="RR43" s="43"/>
      <c r="RS43" s="43"/>
      <c r="RT43" s="43"/>
      <c r="RU43" s="43"/>
      <c r="RV43" s="43"/>
      <c r="RW43" s="43"/>
      <c r="RX43" s="43"/>
      <c r="RY43" s="43"/>
      <c r="RZ43" s="43"/>
      <c r="SA43" s="43"/>
      <c r="SB43" s="43"/>
      <c r="SC43" s="43"/>
      <c r="SD43" s="43"/>
      <c r="SE43" s="43"/>
      <c r="SF43" s="43"/>
      <c r="SG43" s="43"/>
      <c r="SH43" s="43"/>
      <c r="SI43" s="43"/>
      <c r="SJ43" s="43"/>
      <c r="SK43" s="43"/>
      <c r="SL43" s="43"/>
      <c r="SM43" s="43"/>
      <c r="SN43" s="43"/>
      <c r="SO43" s="43"/>
      <c r="SP43" s="43"/>
      <c r="SQ43" s="43"/>
      <c r="SR43" s="43"/>
      <c r="SS43" s="43"/>
      <c r="ST43" s="43"/>
      <c r="SU43" s="43"/>
      <c r="SV43" s="43"/>
      <c r="SW43" s="43"/>
      <c r="SX43" s="43"/>
      <c r="SY43" s="43"/>
      <c r="SZ43" s="43"/>
      <c r="TA43" s="43"/>
      <c r="TB43" s="43"/>
      <c r="TC43" s="43"/>
      <c r="TD43" s="43"/>
      <c r="TE43" s="43"/>
      <c r="TF43" s="43"/>
      <c r="TG43" s="43"/>
      <c r="TH43" s="43"/>
      <c r="TI43" s="43"/>
      <c r="TJ43" s="43"/>
      <c r="TK43" s="43"/>
      <c r="TL43" s="43"/>
      <c r="TM43" s="43"/>
      <c r="TN43" s="43"/>
      <c r="TO43" s="43"/>
      <c r="TP43" s="43"/>
      <c r="TQ43" s="43"/>
      <c r="TR43" s="43"/>
      <c r="TS43" s="43"/>
      <c r="TT43" s="43"/>
      <c r="TU43" s="43"/>
      <c r="TV43" s="43"/>
      <c r="TW43" s="43"/>
      <c r="TX43" s="43"/>
      <c r="TY43" s="43"/>
      <c r="TZ43" s="43"/>
      <c r="UA43" s="43"/>
      <c r="UB43" s="43"/>
      <c r="UC43" s="43"/>
      <c r="UD43" s="43"/>
      <c r="UE43" s="43"/>
      <c r="UF43" s="43"/>
      <c r="UG43" s="43"/>
      <c r="UH43" s="43"/>
      <c r="UI43" s="43"/>
      <c r="UJ43" s="43"/>
      <c r="UK43" s="43"/>
      <c r="UL43" s="43"/>
      <c r="UM43" s="43"/>
      <c r="UN43" s="43"/>
      <c r="UO43" s="43"/>
      <c r="UP43" s="43"/>
      <c r="UQ43" s="43"/>
      <c r="UR43" s="43"/>
      <c r="US43" s="43"/>
      <c r="UT43" s="43"/>
      <c r="UU43" s="43"/>
      <c r="UV43" s="43"/>
      <c r="UW43" s="43"/>
      <c r="UX43" s="43"/>
      <c r="UY43" s="43"/>
      <c r="UZ43" s="43"/>
      <c r="VA43" s="43"/>
      <c r="VB43" s="43"/>
      <c r="VC43" s="43"/>
      <c r="VD43" s="43"/>
      <c r="VE43" s="43"/>
      <c r="VF43" s="43"/>
      <c r="VG43" s="43"/>
      <c r="VH43" s="43"/>
      <c r="VI43" s="43"/>
      <c r="VJ43" s="43"/>
      <c r="VK43" s="43"/>
      <c r="VL43" s="43"/>
      <c r="VM43" s="43"/>
      <c r="VN43" s="43"/>
      <c r="VO43" s="43"/>
      <c r="VP43" s="43"/>
      <c r="VQ43" s="43"/>
      <c r="VR43" s="43"/>
      <c r="VS43" s="43"/>
      <c r="VT43" s="43"/>
      <c r="VU43" s="43"/>
      <c r="VV43" s="43"/>
      <c r="VW43" s="43"/>
      <c r="VX43" s="43"/>
      <c r="VY43" s="43"/>
      <c r="VZ43" s="43"/>
      <c r="WA43" s="43"/>
      <c r="WB43" s="43"/>
      <c r="WC43" s="43"/>
      <c r="WD43" s="43"/>
      <c r="WE43" s="43"/>
      <c r="WF43" s="43"/>
      <c r="WG43" s="43"/>
      <c r="WH43" s="43"/>
      <c r="WI43" s="43"/>
      <c r="WJ43" s="43"/>
      <c r="WK43" s="43"/>
      <c r="WL43" s="43"/>
      <c r="WM43" s="43"/>
      <c r="WN43" s="43"/>
      <c r="WO43" s="43"/>
      <c r="WP43" s="43"/>
      <c r="WQ43" s="43"/>
      <c r="WR43" s="43"/>
      <c r="WS43" s="43"/>
      <c r="WT43" s="43"/>
      <c r="WU43" s="43"/>
      <c r="WV43" s="43"/>
      <c r="WW43" s="43"/>
      <c r="WX43" s="43"/>
      <c r="WY43" s="43"/>
      <c r="WZ43" s="43"/>
      <c r="XA43" s="43"/>
      <c r="XB43" s="43"/>
      <c r="XC43" s="43"/>
      <c r="XD43" s="43"/>
      <c r="XE43" s="43"/>
      <c r="XF43" s="43"/>
      <c r="XG43" s="43"/>
      <c r="XH43" s="43"/>
      <c r="XI43" s="43"/>
      <c r="XJ43" s="43"/>
      <c r="XK43" s="43"/>
      <c r="XL43" s="43"/>
      <c r="XM43" s="43"/>
      <c r="XN43" s="43"/>
      <c r="XO43" s="43"/>
      <c r="XP43" s="43"/>
      <c r="XQ43" s="43"/>
      <c r="XR43" s="43"/>
      <c r="XS43" s="43"/>
      <c r="XT43" s="43"/>
      <c r="XU43" s="43"/>
      <c r="XV43" s="43"/>
      <c r="XW43" s="43"/>
      <c r="XX43" s="43"/>
      <c r="XY43" s="43"/>
      <c r="XZ43" s="43"/>
      <c r="YA43" s="43"/>
      <c r="YB43" s="43"/>
      <c r="YC43" s="43"/>
      <c r="YD43" s="43"/>
      <c r="YE43" s="43"/>
      <c r="YF43" s="43"/>
      <c r="YG43" s="43"/>
      <c r="YH43" s="43"/>
      <c r="YI43" s="43"/>
      <c r="YJ43" s="43"/>
      <c r="YK43" s="43"/>
      <c r="YL43" s="43"/>
      <c r="YM43" s="43"/>
      <c r="YN43" s="43"/>
      <c r="YO43" s="43"/>
      <c r="YP43" s="43"/>
      <c r="YQ43" s="43"/>
      <c r="YR43" s="43"/>
      <c r="YS43" s="43"/>
      <c r="YT43" s="43"/>
      <c r="YU43" s="43"/>
      <c r="YV43" s="43"/>
      <c r="YW43" s="43"/>
      <c r="YX43" s="43"/>
      <c r="YY43" s="43"/>
      <c r="YZ43" s="43"/>
      <c r="ZA43" s="43"/>
      <c r="ZB43" s="43"/>
      <c r="ZC43" s="43"/>
      <c r="ZD43" s="43"/>
      <c r="ZE43" s="43"/>
      <c r="ZF43" s="43"/>
      <c r="ZG43" s="43"/>
      <c r="ZH43" s="43"/>
      <c r="ZI43" s="43"/>
      <c r="ZJ43" s="43"/>
      <c r="ZK43" s="43"/>
      <c r="ZL43" s="43"/>
      <c r="ZM43" s="43"/>
      <c r="ZN43" s="43"/>
      <c r="ZO43" s="43"/>
      <c r="ZP43" s="43"/>
      <c r="ZQ43" s="43"/>
      <c r="ZR43" s="43"/>
      <c r="ZS43" s="43"/>
      <c r="ZT43" s="43"/>
      <c r="ZU43" s="43"/>
      <c r="ZV43" s="43"/>
      <c r="ZW43" s="43"/>
      <c r="ZX43" s="43"/>
      <c r="ZY43" s="43"/>
      <c r="ZZ43" s="43"/>
      <c r="AAA43" s="43"/>
      <c r="AAB43" s="43"/>
      <c r="AAC43" s="43"/>
      <c r="AAD43" s="43"/>
      <c r="AAE43" s="43"/>
      <c r="AAF43" s="43"/>
      <c r="AAG43" s="43"/>
      <c r="AAH43" s="43"/>
      <c r="AAI43" s="43"/>
      <c r="AAJ43" s="43"/>
      <c r="AAK43" s="43"/>
      <c r="AAL43" s="43"/>
      <c r="AAM43" s="43"/>
      <c r="AAN43" s="43"/>
      <c r="AAO43" s="43"/>
      <c r="AAP43" s="43"/>
      <c r="AAQ43" s="43"/>
      <c r="AAR43" s="43"/>
      <c r="AAS43" s="43"/>
      <c r="AAT43" s="43"/>
      <c r="AAU43" s="43"/>
      <c r="AAV43" s="43"/>
      <c r="AAW43" s="43"/>
      <c r="AAX43" s="43"/>
      <c r="AAY43" s="43"/>
      <c r="AAZ43" s="43"/>
      <c r="ABA43" s="43"/>
      <c r="ABB43" s="43"/>
      <c r="ABC43" s="43"/>
      <c r="ABD43" s="43"/>
      <c r="ABE43" s="43"/>
      <c r="ABF43" s="43"/>
      <c r="ABG43" s="43"/>
      <c r="ABH43" s="43"/>
      <c r="ABI43" s="43"/>
      <c r="ABJ43" s="43"/>
      <c r="ABK43" s="43"/>
      <c r="ABL43" s="43"/>
      <c r="ABM43" s="43"/>
      <c r="ABN43" s="43"/>
      <c r="ABO43" s="43"/>
      <c r="ABP43" s="43"/>
      <c r="ABQ43" s="43"/>
      <c r="ABR43" s="43"/>
      <c r="ABS43" s="43"/>
      <c r="ABT43" s="43"/>
      <c r="ABU43" s="43"/>
      <c r="ABV43" s="43"/>
      <c r="ABW43" s="43"/>
      <c r="ABX43" s="43"/>
      <c r="ABY43" s="43"/>
      <c r="ABZ43" s="43"/>
      <c r="ACA43" s="43"/>
      <c r="ACB43" s="43"/>
      <c r="ACC43" s="43"/>
      <c r="ACD43" s="43"/>
      <c r="ACE43" s="43"/>
      <c r="ACF43" s="43"/>
      <c r="ACG43" s="43"/>
      <c r="ACH43" s="43"/>
      <c r="ACI43" s="43"/>
      <c r="ACJ43" s="43"/>
      <c r="ACK43" s="43"/>
      <c r="ACL43" s="43"/>
      <c r="ACM43" s="43"/>
      <c r="ACN43" s="43"/>
      <c r="ACO43" s="43"/>
      <c r="ACP43" s="43"/>
      <c r="ACQ43" s="43"/>
      <c r="ACR43" s="43"/>
      <c r="ACS43" s="43"/>
      <c r="ACT43" s="43"/>
      <c r="ACU43" s="43"/>
      <c r="ACV43" s="43"/>
      <c r="ACW43" s="43"/>
      <c r="ACX43" s="43"/>
      <c r="ACY43" s="43"/>
      <c r="ACZ43" s="43"/>
      <c r="ADA43" s="43"/>
      <c r="ADB43" s="43"/>
      <c r="ADC43" s="43"/>
      <c r="ADD43" s="43"/>
      <c r="ADE43" s="43"/>
      <c r="ADF43" s="43"/>
      <c r="ADG43" s="43"/>
      <c r="ADH43" s="43"/>
      <c r="ADI43" s="43"/>
      <c r="ADJ43" s="43"/>
      <c r="ADK43" s="43"/>
      <c r="ADL43" s="43"/>
      <c r="ADM43" s="43"/>
      <c r="ADN43" s="43"/>
      <c r="ADO43" s="43"/>
      <c r="ADP43" s="43"/>
      <c r="ADQ43" s="43"/>
      <c r="ADR43" s="43"/>
      <c r="ADS43" s="43"/>
      <c r="ADT43" s="43"/>
      <c r="ADU43" s="43"/>
      <c r="ADV43" s="43"/>
      <c r="ADW43" s="43"/>
      <c r="ADX43" s="43"/>
      <c r="ADY43" s="43"/>
      <c r="ADZ43" s="43"/>
      <c r="AEA43" s="43"/>
      <c r="AEB43" s="43"/>
      <c r="AEC43" s="43"/>
      <c r="AED43" s="43"/>
      <c r="AEE43" s="43"/>
      <c r="AEF43" s="43"/>
      <c r="AEG43" s="43"/>
      <c r="AEH43" s="43"/>
      <c r="AEI43" s="43"/>
      <c r="AEJ43" s="43"/>
      <c r="AEK43" s="43"/>
      <c r="AEL43" s="43"/>
      <c r="AEM43" s="43"/>
      <c r="AEN43" s="43"/>
      <c r="AEO43" s="43"/>
      <c r="AEP43" s="43"/>
      <c r="AEQ43" s="43"/>
      <c r="AER43" s="43"/>
      <c r="AES43" s="43"/>
      <c r="AET43" s="43"/>
      <c r="AEU43" s="43"/>
      <c r="AEV43" s="43"/>
      <c r="AEW43" s="43"/>
      <c r="AEX43" s="43"/>
      <c r="AEY43" s="43"/>
      <c r="AEZ43" s="43"/>
      <c r="AFA43" s="43"/>
      <c r="AFB43" s="43"/>
      <c r="AFC43" s="43"/>
      <c r="AFD43" s="43"/>
      <c r="AFE43" s="43"/>
      <c r="AFF43" s="43"/>
      <c r="AFG43" s="43"/>
      <c r="AFH43" s="43"/>
      <c r="AFI43" s="43"/>
      <c r="AFJ43" s="43"/>
      <c r="AFK43" s="43"/>
      <c r="AFL43" s="43"/>
      <c r="AFM43" s="43"/>
      <c r="AFN43" s="43"/>
      <c r="AFO43" s="43"/>
      <c r="AFP43" s="43"/>
      <c r="AFQ43" s="43"/>
      <c r="AFR43" s="43"/>
      <c r="AFS43" s="43"/>
      <c r="AFT43" s="43"/>
      <c r="AFU43" s="43"/>
      <c r="AFV43" s="43"/>
      <c r="AFW43" s="43"/>
      <c r="AFX43" s="43"/>
      <c r="AFY43" s="43"/>
      <c r="AFZ43" s="43"/>
      <c r="AGA43" s="43"/>
      <c r="AGB43" s="43"/>
      <c r="AGC43" s="43"/>
      <c r="AGD43" s="43"/>
      <c r="AGE43" s="43"/>
      <c r="AGF43" s="43"/>
      <c r="AGG43" s="43"/>
      <c r="AGH43" s="43"/>
      <c r="AGI43" s="43"/>
      <c r="AGJ43" s="43"/>
      <c r="AGK43" s="43"/>
      <c r="AGL43" s="43"/>
      <c r="AGM43" s="43"/>
      <c r="AGN43" s="43"/>
      <c r="AGO43" s="43"/>
      <c r="AGP43" s="43"/>
      <c r="AGQ43" s="43"/>
      <c r="AGR43" s="43"/>
      <c r="AGS43" s="43"/>
      <c r="AGT43" s="43"/>
      <c r="AGU43" s="43"/>
      <c r="AGV43" s="43"/>
      <c r="AGW43" s="43"/>
      <c r="AGX43" s="43"/>
      <c r="AGY43" s="43"/>
      <c r="AGZ43" s="43"/>
      <c r="AHA43" s="43"/>
      <c r="AHB43" s="43"/>
      <c r="AHC43" s="43"/>
      <c r="AHD43" s="43"/>
      <c r="AHE43" s="43"/>
      <c r="AHF43" s="43"/>
      <c r="AHG43" s="43"/>
      <c r="AHH43" s="43"/>
      <c r="AHI43" s="43"/>
      <c r="AHJ43" s="43"/>
      <c r="AHK43" s="43"/>
      <c r="AHL43" s="43"/>
      <c r="AHM43" s="43"/>
      <c r="AHN43" s="43"/>
      <c r="AHO43" s="43"/>
      <c r="AHP43" s="43"/>
      <c r="AHQ43" s="43"/>
      <c r="AHR43" s="43"/>
      <c r="AHS43" s="43"/>
      <c r="AHT43" s="43"/>
      <c r="AHU43" s="43"/>
      <c r="AHV43" s="43"/>
      <c r="AHW43" s="43"/>
      <c r="AHX43" s="43"/>
      <c r="AHY43" s="43"/>
      <c r="AHZ43" s="43"/>
      <c r="AIA43" s="43"/>
      <c r="AIB43" s="43"/>
      <c r="AIC43" s="43"/>
      <c r="AID43" s="43"/>
      <c r="AIE43" s="43"/>
      <c r="AIF43" s="43"/>
      <c r="AIG43" s="43"/>
      <c r="AIH43" s="43"/>
      <c r="AII43" s="43"/>
      <c r="AIJ43" s="43"/>
      <c r="AIK43" s="43"/>
      <c r="AIL43" s="43"/>
      <c r="AIM43" s="43"/>
      <c r="AIN43" s="43"/>
      <c r="AIO43" s="43"/>
      <c r="AIP43" s="43"/>
      <c r="AIQ43" s="43"/>
      <c r="AIR43" s="43"/>
      <c r="AIS43" s="43"/>
      <c r="AIT43" s="43"/>
      <c r="AIU43" s="43"/>
      <c r="AIV43" s="43"/>
      <c r="AIW43" s="43"/>
      <c r="AIX43" s="43"/>
      <c r="AIY43" s="43"/>
      <c r="AIZ43" s="43"/>
      <c r="AJA43" s="43"/>
      <c r="AJB43" s="43"/>
      <c r="AJC43" s="43"/>
      <c r="AJD43" s="43"/>
      <c r="AJE43" s="43"/>
      <c r="AJF43" s="43"/>
      <c r="AJG43" s="43"/>
      <c r="AJH43" s="43"/>
      <c r="AJI43" s="43"/>
      <c r="AJJ43" s="43"/>
      <c r="AJK43" s="43"/>
      <c r="AJL43" s="43"/>
      <c r="AJM43" s="43"/>
      <c r="AJN43" s="43"/>
      <c r="AJO43" s="43"/>
      <c r="AJP43" s="43"/>
      <c r="AJQ43" s="43"/>
      <c r="AJR43" s="43"/>
      <c r="AJS43" s="43"/>
      <c r="AJT43" s="43"/>
      <c r="AJU43" s="43"/>
      <c r="AJV43" s="43"/>
      <c r="AJW43" s="43"/>
      <c r="AJX43" s="43"/>
      <c r="AJY43" s="43"/>
      <c r="AJZ43" s="43"/>
      <c r="AKA43" s="43"/>
      <c r="AKB43" s="43"/>
      <c r="AKC43" s="43"/>
      <c r="AKD43" s="43"/>
      <c r="AKE43" s="43"/>
      <c r="AKF43" s="43"/>
      <c r="AKG43" s="43"/>
      <c r="AKH43" s="43"/>
      <c r="AKI43" s="43"/>
      <c r="AKJ43" s="43"/>
      <c r="AKK43" s="43"/>
      <c r="AKL43" s="43"/>
      <c r="AKM43" s="43"/>
      <c r="AKN43" s="43"/>
      <c r="AKO43" s="43"/>
      <c r="AKP43" s="43"/>
      <c r="AKQ43" s="43"/>
      <c r="AKR43" s="43"/>
      <c r="AKS43" s="43"/>
      <c r="AKT43" s="43"/>
      <c r="AKU43" s="43"/>
      <c r="AKV43" s="43"/>
      <c r="AKW43" s="43"/>
      <c r="AKX43" s="43"/>
      <c r="AKY43" s="43"/>
      <c r="AKZ43" s="43"/>
      <c r="ALA43" s="43"/>
      <c r="ALB43" s="43"/>
      <c r="ALC43" s="43"/>
      <c r="ALD43" s="43"/>
      <c r="ALE43" s="43"/>
      <c r="ALF43" s="43"/>
      <c r="ALG43" s="43"/>
      <c r="ALH43" s="43"/>
      <c r="ALI43" s="43"/>
      <c r="ALJ43" s="43"/>
      <c r="ALK43" s="43"/>
      <c r="ALL43" s="43"/>
      <c r="ALM43" s="43"/>
      <c r="ALN43" s="43"/>
      <c r="ALO43" s="43"/>
      <c r="ALP43" s="43"/>
      <c r="ALQ43" s="43"/>
      <c r="ALR43" s="43"/>
      <c r="ALS43" s="43"/>
      <c r="ALT43" s="43"/>
      <c r="ALU43" s="43"/>
      <c r="ALV43" s="43"/>
      <c r="ALW43" s="43"/>
      <c r="ALX43" s="43"/>
      <c r="ALY43" s="43"/>
      <c r="ALZ43" s="43"/>
      <c r="AMA43" s="43"/>
      <c r="AMB43" s="43"/>
      <c r="AMC43" s="43"/>
      <c r="AMD43" s="43"/>
      <c r="AME43" s="43"/>
      <c r="AMF43" s="43"/>
      <c r="AMG43" s="43"/>
      <c r="AMH43" s="43"/>
      <c r="AMI43" s="43"/>
      <c r="AMJ43" s="43"/>
    </row>
    <row r="47" spans="1:1024" s="43" customFormat="1" x14ac:dyDescent="0.25"/>
  </sheetData>
  <mergeCells count="7">
    <mergeCell ref="E25:F25"/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8" scale="79" fitToWidth="0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/>
  <dimension ref="A1:AMN33"/>
  <sheetViews>
    <sheetView topLeftCell="A7" workbookViewId="0">
      <selection activeCell="C2" sqref="C2"/>
    </sheetView>
  </sheetViews>
  <sheetFormatPr defaultColWidth="9" defaultRowHeight="15" x14ac:dyDescent="0.25"/>
  <cols>
    <col min="1" max="1" width="33.5" style="43" customWidth="1"/>
    <col min="2" max="3" width="13" style="43" customWidth="1"/>
    <col min="4" max="5" width="13" style="43" hidden="1" customWidth="1"/>
    <col min="6" max="8" width="13" style="43" customWidth="1"/>
    <col min="9" max="9" width="17" style="43" customWidth="1"/>
    <col min="10" max="1028" width="8.75" style="43" customWidth="1"/>
    <col min="1029" max="1029" width="9" style="273" customWidth="1"/>
    <col min="1030" max="16384" width="9" style="273"/>
  </cols>
  <sheetData>
    <row r="1" spans="1:13 1028:1028" ht="15.75" x14ac:dyDescent="0.25">
      <c r="A1" s="55"/>
      <c r="C1" s="307" t="s">
        <v>625</v>
      </c>
      <c r="D1" s="307"/>
      <c r="E1" s="307"/>
      <c r="F1" s="307"/>
      <c r="G1" s="307"/>
      <c r="H1" s="307"/>
      <c r="I1" s="307"/>
    </row>
    <row r="2" spans="1:13 1028:1028" ht="15.75" x14ac:dyDescent="0.25">
      <c r="A2" s="56"/>
    </row>
    <row r="3" spans="1:13 1028:1028" ht="15.75" x14ac:dyDescent="0.25">
      <c r="A3" s="308" t="s">
        <v>7</v>
      </c>
      <c r="B3" s="308"/>
      <c r="C3" s="308"/>
      <c r="D3" s="308"/>
      <c r="E3" s="308"/>
      <c r="F3" s="308"/>
      <c r="G3" s="308"/>
      <c r="H3" s="308"/>
      <c r="I3" s="308"/>
    </row>
    <row r="4" spans="1:13 1028:1028" ht="15.75" x14ac:dyDescent="0.25">
      <c r="A4" s="308" t="s">
        <v>63</v>
      </c>
      <c r="B4" s="308"/>
      <c r="C4" s="308"/>
      <c r="D4" s="308"/>
      <c r="E4" s="308"/>
      <c r="F4" s="308"/>
      <c r="G4" s="308"/>
      <c r="H4" s="308"/>
      <c r="I4" s="308"/>
    </row>
    <row r="5" spans="1:13 1028:1028" ht="15.75" x14ac:dyDescent="0.25">
      <c r="A5" s="308" t="s">
        <v>167</v>
      </c>
      <c r="B5" s="308"/>
      <c r="C5" s="308"/>
      <c r="D5" s="308"/>
      <c r="E5" s="308"/>
      <c r="F5" s="308"/>
      <c r="G5" s="308"/>
      <c r="H5" s="308"/>
      <c r="I5" s="308"/>
      <c r="M5" s="273"/>
    </row>
    <row r="6" spans="1:13 1028:1028" ht="15.75" x14ac:dyDescent="0.25">
      <c r="A6" s="57"/>
      <c r="M6" s="273"/>
    </row>
    <row r="7" spans="1:13 1028:1028" ht="15.75" customHeight="1" x14ac:dyDescent="0.25">
      <c r="A7" s="309" t="s">
        <v>168</v>
      </c>
      <c r="B7" s="309"/>
      <c r="C7" s="309"/>
      <c r="D7" s="309"/>
      <c r="E7" s="309"/>
      <c r="F7" s="309"/>
      <c r="G7" s="309"/>
      <c r="H7" s="309"/>
      <c r="I7" s="309"/>
    </row>
    <row r="8" spans="1:13 1028:1028" x14ac:dyDescent="0.25">
      <c r="A8" s="58"/>
      <c r="M8" s="273"/>
    </row>
    <row r="9" spans="1:13 1028:1028" ht="16.5" thickBot="1" x14ac:dyDescent="0.3">
      <c r="C9" s="59"/>
      <c r="D9" s="59"/>
      <c r="E9" s="59"/>
      <c r="F9" s="59"/>
      <c r="G9" s="59"/>
      <c r="H9" s="76" t="s">
        <v>81</v>
      </c>
      <c r="I9" s="274"/>
    </row>
    <row r="10" spans="1:13 1028:1028" ht="49.5" customHeight="1" thickTop="1" x14ac:dyDescent="0.25">
      <c r="A10" s="60" t="s">
        <v>5</v>
      </c>
      <c r="B10" s="138" t="s">
        <v>95</v>
      </c>
      <c r="C10" s="138" t="s">
        <v>109</v>
      </c>
      <c r="D10" s="138" t="s">
        <v>111</v>
      </c>
      <c r="E10" s="138" t="s">
        <v>123</v>
      </c>
      <c r="F10" s="138" t="s">
        <v>127</v>
      </c>
      <c r="G10" s="138" t="s">
        <v>127</v>
      </c>
      <c r="H10" s="60" t="s">
        <v>121</v>
      </c>
      <c r="AMN10" s="273"/>
    </row>
    <row r="11" spans="1:13 1028:1028" ht="15.75" x14ac:dyDescent="0.25">
      <c r="A11" s="61" t="s">
        <v>64</v>
      </c>
      <c r="B11" s="133" t="s">
        <v>65</v>
      </c>
      <c r="C11" s="135" t="s">
        <v>65</v>
      </c>
      <c r="D11" s="136" t="s">
        <v>65</v>
      </c>
      <c r="E11" s="136" t="s">
        <v>65</v>
      </c>
      <c r="F11" s="136" t="s">
        <v>65</v>
      </c>
      <c r="G11" s="137" t="s">
        <v>169</v>
      </c>
      <c r="H11" s="137"/>
      <c r="AMN11" s="273"/>
    </row>
    <row r="12" spans="1:13 1028:1028" ht="56.25" customHeight="1" thickBot="1" x14ac:dyDescent="0.3">
      <c r="A12" s="62"/>
      <c r="B12" s="134" t="s">
        <v>66</v>
      </c>
      <c r="C12" s="134" t="s">
        <v>66</v>
      </c>
      <c r="D12" s="134" t="s">
        <v>66</v>
      </c>
      <c r="E12" s="134" t="s">
        <v>66</v>
      </c>
      <c r="F12" s="134" t="s">
        <v>66</v>
      </c>
      <c r="G12" s="134" t="s">
        <v>170</v>
      </c>
      <c r="H12" s="134"/>
      <c r="AMN12" s="273"/>
    </row>
    <row r="13" spans="1:13 1028:1028" ht="19.5" thickTop="1" x14ac:dyDescent="0.25">
      <c r="A13" s="118" t="s">
        <v>80</v>
      </c>
      <c r="B13" s="63">
        <f t="shared" ref="B13:F13" si="0">SUM(B14:B17)</f>
        <v>57</v>
      </c>
      <c r="C13" s="63">
        <f t="shared" si="0"/>
        <v>58</v>
      </c>
      <c r="D13" s="63">
        <f t="shared" si="0"/>
        <v>58</v>
      </c>
      <c r="E13" s="63">
        <f t="shared" si="0"/>
        <v>58</v>
      </c>
      <c r="F13" s="63">
        <f t="shared" si="0"/>
        <v>58</v>
      </c>
      <c r="G13" s="175">
        <f>SUM(G14:G17)</f>
        <v>48</v>
      </c>
      <c r="H13" s="110">
        <v>0</v>
      </c>
      <c r="AMN13" s="273"/>
    </row>
    <row r="14" spans="1:13 1028:1028" ht="19.5" customHeight="1" x14ac:dyDescent="0.25">
      <c r="A14" s="64" t="s">
        <v>67</v>
      </c>
      <c r="B14" s="65">
        <v>8</v>
      </c>
      <c r="C14" s="65">
        <v>8</v>
      </c>
      <c r="D14" s="65">
        <v>8</v>
      </c>
      <c r="E14" s="65">
        <v>8</v>
      </c>
      <c r="F14" s="65">
        <v>8</v>
      </c>
      <c r="G14" s="176">
        <v>7</v>
      </c>
      <c r="H14" s="111">
        <v>0</v>
      </c>
      <c r="AMN14" s="273"/>
    </row>
    <row r="15" spans="1:13 1028:1028" ht="21.75" customHeight="1" x14ac:dyDescent="0.25">
      <c r="A15" s="64" t="s">
        <v>82</v>
      </c>
      <c r="B15" s="65">
        <v>16</v>
      </c>
      <c r="C15" s="65">
        <v>17</v>
      </c>
      <c r="D15" s="65">
        <v>17</v>
      </c>
      <c r="E15" s="65">
        <v>17</v>
      </c>
      <c r="F15" s="65">
        <v>17</v>
      </c>
      <c r="G15" s="176">
        <v>22</v>
      </c>
      <c r="H15" s="111">
        <v>0</v>
      </c>
      <c r="AMN15" s="273"/>
    </row>
    <row r="16" spans="1:13 1028:1028" ht="19.5" customHeight="1" x14ac:dyDescent="0.25">
      <c r="A16" s="64" t="s">
        <v>83</v>
      </c>
      <c r="B16" s="106">
        <v>22</v>
      </c>
      <c r="C16" s="106">
        <v>22</v>
      </c>
      <c r="D16" s="106">
        <v>22</v>
      </c>
      <c r="E16" s="106">
        <v>22</v>
      </c>
      <c r="F16" s="106">
        <v>22</v>
      </c>
      <c r="G16" s="177">
        <v>17</v>
      </c>
      <c r="H16" s="112">
        <v>0</v>
      </c>
      <c r="AMN16" s="273"/>
    </row>
    <row r="17" spans="1:8 1028:1028" ht="31.5" x14ac:dyDescent="0.25">
      <c r="A17" s="119" t="s">
        <v>96</v>
      </c>
      <c r="B17" s="109">
        <v>11</v>
      </c>
      <c r="C17" s="108">
        <v>11</v>
      </c>
      <c r="D17" s="108">
        <v>11</v>
      </c>
      <c r="E17" s="108">
        <v>11</v>
      </c>
      <c r="F17" s="108">
        <v>11</v>
      </c>
      <c r="G17" s="178">
        <v>2</v>
      </c>
      <c r="H17" s="113"/>
      <c r="AMN17" s="273"/>
    </row>
    <row r="18" spans="1:8 1028:1028" ht="18.75" x14ac:dyDescent="0.25">
      <c r="A18" s="66" t="s">
        <v>62</v>
      </c>
      <c r="B18" s="107">
        <f>SUM(B19:B29)</f>
        <v>146</v>
      </c>
      <c r="C18" s="107">
        <f>SUM(C19:C29)</f>
        <v>154</v>
      </c>
      <c r="D18" s="107">
        <f>SUM(D19:D29)</f>
        <v>154</v>
      </c>
      <c r="E18" s="107">
        <f>SUM(E19:E29)</f>
        <v>154</v>
      </c>
      <c r="F18" s="107">
        <f>SUM(F19:F29)</f>
        <v>154</v>
      </c>
      <c r="G18" s="179">
        <f>SUM(G19:G29)</f>
        <v>124</v>
      </c>
      <c r="H18" s="114">
        <f>SUM(H19:H29)</f>
        <v>1</v>
      </c>
      <c r="AMN18" s="273"/>
    </row>
    <row r="19" spans="1:8 1028:1028" ht="21" customHeight="1" x14ac:dyDescent="0.25">
      <c r="A19" s="64" t="s">
        <v>68</v>
      </c>
      <c r="B19" s="77">
        <v>47</v>
      </c>
      <c r="C19" s="77">
        <v>47</v>
      </c>
      <c r="D19" s="77">
        <v>47</v>
      </c>
      <c r="E19" s="77">
        <v>47</v>
      </c>
      <c r="F19" s="77">
        <v>47</v>
      </c>
      <c r="G19" s="77">
        <v>45</v>
      </c>
      <c r="H19" s="180">
        <v>1</v>
      </c>
      <c r="AMN19" s="273"/>
    </row>
    <row r="20" spans="1:8 1028:1028" ht="19.5" customHeight="1" x14ac:dyDescent="0.25">
      <c r="A20" s="64" t="s">
        <v>84</v>
      </c>
      <c r="B20" s="77">
        <v>29</v>
      </c>
      <c r="C20" s="77">
        <v>35</v>
      </c>
      <c r="D20" s="77">
        <v>35</v>
      </c>
      <c r="E20" s="77">
        <v>35</v>
      </c>
      <c r="F20" s="77">
        <v>35</v>
      </c>
      <c r="G20" s="77">
        <v>28</v>
      </c>
      <c r="H20" s="180">
        <v>0</v>
      </c>
      <c r="AMN20" s="273"/>
    </row>
    <row r="21" spans="1:8 1028:1028" ht="18" customHeight="1" x14ac:dyDescent="0.25">
      <c r="A21" s="64" t="s">
        <v>85</v>
      </c>
      <c r="B21" s="77">
        <v>7</v>
      </c>
      <c r="C21" s="77">
        <v>9</v>
      </c>
      <c r="D21" s="77">
        <v>9</v>
      </c>
      <c r="E21" s="77">
        <v>9</v>
      </c>
      <c r="F21" s="77">
        <v>9</v>
      </c>
      <c r="G21" s="77">
        <v>5</v>
      </c>
      <c r="H21" s="180">
        <v>0</v>
      </c>
      <c r="AMN21" s="273"/>
    </row>
    <row r="22" spans="1:8 1028:1028" ht="18" customHeight="1" x14ac:dyDescent="0.25">
      <c r="A22" s="64" t="s">
        <v>86</v>
      </c>
      <c r="B22" s="77">
        <v>15</v>
      </c>
      <c r="C22" s="77">
        <v>15</v>
      </c>
      <c r="D22" s="77">
        <v>15</v>
      </c>
      <c r="E22" s="77">
        <v>15</v>
      </c>
      <c r="F22" s="77">
        <v>15</v>
      </c>
      <c r="G22" s="77">
        <v>13</v>
      </c>
      <c r="H22" s="180">
        <v>0</v>
      </c>
      <c r="AMN22" s="273"/>
    </row>
    <row r="23" spans="1:8 1028:1028" ht="16.5" customHeight="1" x14ac:dyDescent="0.25">
      <c r="A23" s="64" t="s">
        <v>87</v>
      </c>
      <c r="B23" s="77">
        <v>6</v>
      </c>
      <c r="C23" s="77">
        <v>6</v>
      </c>
      <c r="D23" s="77">
        <v>6</v>
      </c>
      <c r="E23" s="77">
        <v>6</v>
      </c>
      <c r="F23" s="77">
        <v>6</v>
      </c>
      <c r="G23" s="77">
        <v>6</v>
      </c>
      <c r="H23" s="180">
        <v>0</v>
      </c>
      <c r="AMN23" s="273"/>
    </row>
    <row r="24" spans="1:8 1028:1028" ht="18.75" customHeight="1" x14ac:dyDescent="0.25">
      <c r="A24" s="64" t="s">
        <v>69</v>
      </c>
      <c r="B24" s="77">
        <v>2</v>
      </c>
      <c r="C24" s="77">
        <v>3</v>
      </c>
      <c r="D24" s="77">
        <v>3</v>
      </c>
      <c r="E24" s="77">
        <v>3</v>
      </c>
      <c r="F24" s="77">
        <v>3</v>
      </c>
      <c r="G24" s="77">
        <v>2</v>
      </c>
      <c r="H24" s="180">
        <v>0</v>
      </c>
      <c r="AMN24" s="273"/>
    </row>
    <row r="25" spans="1:8 1028:1028" ht="18" customHeight="1" x14ac:dyDescent="0.25">
      <c r="A25" s="64" t="s">
        <v>110</v>
      </c>
      <c r="B25" s="77">
        <v>0</v>
      </c>
      <c r="C25" s="77">
        <v>2</v>
      </c>
      <c r="D25" s="77">
        <v>2</v>
      </c>
      <c r="E25" s="77">
        <v>2</v>
      </c>
      <c r="F25" s="77">
        <v>2</v>
      </c>
      <c r="G25" s="77">
        <v>0</v>
      </c>
      <c r="H25" s="180"/>
      <c r="AMN25" s="273"/>
    </row>
    <row r="26" spans="1:8 1028:1028" ht="18.75" customHeight="1" x14ac:dyDescent="0.25">
      <c r="A26" s="64" t="s">
        <v>70</v>
      </c>
      <c r="B26" s="77">
        <v>1</v>
      </c>
      <c r="C26" s="77">
        <v>1</v>
      </c>
      <c r="D26" s="77">
        <v>1</v>
      </c>
      <c r="E26" s="77">
        <v>1</v>
      </c>
      <c r="F26" s="77">
        <v>1</v>
      </c>
      <c r="G26" s="77">
        <v>1</v>
      </c>
      <c r="H26" s="180">
        <v>0</v>
      </c>
      <c r="AMN26" s="273"/>
    </row>
    <row r="27" spans="1:8 1028:1028" ht="18" customHeight="1" x14ac:dyDescent="0.25">
      <c r="A27" s="64" t="s">
        <v>71</v>
      </c>
      <c r="B27" s="77">
        <v>34</v>
      </c>
      <c r="C27" s="77">
        <v>34</v>
      </c>
      <c r="D27" s="77">
        <v>34</v>
      </c>
      <c r="E27" s="77">
        <v>34</v>
      </c>
      <c r="F27" s="77">
        <v>34</v>
      </c>
      <c r="G27" s="77">
        <v>22</v>
      </c>
      <c r="H27" s="180">
        <v>0</v>
      </c>
      <c r="AMN27" s="273"/>
    </row>
    <row r="28" spans="1:8 1028:1028" ht="17.25" customHeight="1" x14ac:dyDescent="0.25">
      <c r="A28" s="64" t="s">
        <v>72</v>
      </c>
      <c r="B28" s="77">
        <v>1</v>
      </c>
      <c r="C28" s="77">
        <v>1</v>
      </c>
      <c r="D28" s="77">
        <v>1</v>
      </c>
      <c r="E28" s="77">
        <v>1</v>
      </c>
      <c r="F28" s="77">
        <v>1</v>
      </c>
      <c r="G28" s="77">
        <v>1</v>
      </c>
      <c r="H28" s="180">
        <v>0</v>
      </c>
      <c r="AMN28" s="273"/>
    </row>
    <row r="29" spans="1:8 1028:1028" ht="19.899999999999999" customHeight="1" x14ac:dyDescent="0.25">
      <c r="A29" s="64" t="s">
        <v>73</v>
      </c>
      <c r="B29" s="77">
        <v>4</v>
      </c>
      <c r="C29" s="77">
        <v>1</v>
      </c>
      <c r="D29" s="77">
        <v>1</v>
      </c>
      <c r="E29" s="77">
        <v>1</v>
      </c>
      <c r="F29" s="77">
        <v>1</v>
      </c>
      <c r="G29" s="77">
        <v>1</v>
      </c>
      <c r="H29" s="180">
        <v>0</v>
      </c>
      <c r="AMN29" s="273"/>
    </row>
    <row r="30" spans="1:8 1028:1028" ht="17.25" customHeight="1" x14ac:dyDescent="0.25">
      <c r="A30" s="66" t="s">
        <v>97</v>
      </c>
      <c r="B30" s="105">
        <v>0</v>
      </c>
      <c r="C30" s="78">
        <v>0</v>
      </c>
      <c r="D30" s="78">
        <v>0</v>
      </c>
      <c r="E30" s="78">
        <v>0</v>
      </c>
      <c r="F30" s="181">
        <v>0</v>
      </c>
      <c r="G30" s="182">
        <v>0</v>
      </c>
      <c r="H30" s="183">
        <v>0</v>
      </c>
      <c r="AMN30" s="273"/>
    </row>
    <row r="31" spans="1:8 1028:1028" ht="19.5" thickBot="1" x14ac:dyDescent="0.3">
      <c r="A31" s="116" t="s">
        <v>61</v>
      </c>
      <c r="B31" s="117">
        <f>B30+B18+B13</f>
        <v>203</v>
      </c>
      <c r="C31" s="117">
        <f>SUM(C13+C18+C30)</f>
        <v>212</v>
      </c>
      <c r="D31" s="117">
        <f>SUM(D13+D18+D30)</f>
        <v>212</v>
      </c>
      <c r="E31" s="117">
        <f>SUM(E13+E18+E30)</f>
        <v>212</v>
      </c>
      <c r="F31" s="117">
        <f>SUM(F13+F18+F30)</f>
        <v>212</v>
      </c>
      <c r="G31" s="117">
        <f>SUM(G13+G18+G30)</f>
        <v>172</v>
      </c>
      <c r="H31" s="115">
        <f>SUM(H13+H18+H30)</f>
        <v>1</v>
      </c>
    </row>
    <row r="32" spans="1:8 1028:1028" ht="15.75" thickTop="1" x14ac:dyDescent="0.25"/>
    <row r="33" spans="1:1" x14ac:dyDescent="0.25">
      <c r="A33" s="273" t="s">
        <v>143</v>
      </c>
    </row>
  </sheetData>
  <mergeCells count="5">
    <mergeCell ref="C1:I1"/>
    <mergeCell ref="A3:I3"/>
    <mergeCell ref="A4:I4"/>
    <mergeCell ref="A5:I5"/>
    <mergeCell ref="A7:I7"/>
  </mergeCells>
  <pageMargins left="0.70866141732283472" right="0.70866141732283472" top="1.1417322834645669" bottom="1.1417322834645669" header="0.74803149606299213" footer="0.74803149606299213"/>
  <pageSetup paperSize="8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>
    <pageSetUpPr fitToPage="1"/>
  </sheetPr>
  <dimension ref="A1:K48"/>
  <sheetViews>
    <sheetView workbookViewId="0">
      <selection activeCell="J29" sqref="J29"/>
    </sheetView>
  </sheetViews>
  <sheetFormatPr defaultColWidth="8.75" defaultRowHeight="14.25" x14ac:dyDescent="0.2"/>
  <cols>
    <col min="1" max="1" width="8.75" style="172"/>
    <col min="2" max="2" width="34.625" style="172" customWidth="1"/>
    <col min="3" max="4" width="13.625" style="172" customWidth="1"/>
    <col min="5" max="5" width="19" style="172" customWidth="1"/>
    <col min="6" max="6" width="18.125" style="172" customWidth="1"/>
    <col min="7" max="8" width="16.875" style="172" customWidth="1"/>
    <col min="9" max="9" width="21.5" style="172" customWidth="1"/>
    <col min="10" max="10" width="23.625" style="172" customWidth="1"/>
    <col min="11" max="11" width="13.125" style="172" bestFit="1" customWidth="1"/>
    <col min="12" max="16384" width="8.75" style="172"/>
  </cols>
  <sheetData>
    <row r="1" spans="1:11" ht="15.75" x14ac:dyDescent="0.25">
      <c r="F1" s="245" t="s">
        <v>626</v>
      </c>
      <c r="G1" s="244"/>
      <c r="H1" s="244"/>
    </row>
    <row r="3" spans="1:11" ht="15.75" x14ac:dyDescent="0.25">
      <c r="A3" s="308" t="s">
        <v>0</v>
      </c>
      <c r="B3" s="308"/>
      <c r="C3" s="308"/>
      <c r="D3" s="308"/>
      <c r="E3" s="308"/>
      <c r="F3" s="308"/>
      <c r="G3" s="308"/>
      <c r="H3" s="308"/>
      <c r="I3" s="308"/>
    </row>
    <row r="4" spans="1:11" ht="15.75" x14ac:dyDescent="0.25">
      <c r="A4" s="308" t="s">
        <v>546</v>
      </c>
      <c r="B4" s="308"/>
      <c r="C4" s="308"/>
      <c r="D4" s="308"/>
      <c r="E4" s="308"/>
      <c r="F4" s="308"/>
      <c r="G4" s="308"/>
      <c r="H4" s="308"/>
      <c r="I4" s="308"/>
    </row>
    <row r="5" spans="1:11" ht="15.75" x14ac:dyDescent="0.25">
      <c r="A5" s="308" t="s">
        <v>547</v>
      </c>
      <c r="B5" s="308"/>
      <c r="C5" s="308"/>
      <c r="D5" s="308"/>
      <c r="E5" s="308"/>
      <c r="F5" s="308"/>
      <c r="G5" s="308"/>
      <c r="H5" s="308"/>
      <c r="I5" s="308"/>
    </row>
    <row r="6" spans="1:11" ht="15" x14ac:dyDescent="0.25">
      <c r="A6" s="310" t="s">
        <v>39</v>
      </c>
      <c r="B6" s="310"/>
      <c r="C6" s="310"/>
      <c r="D6" s="310"/>
      <c r="E6" s="310"/>
      <c r="F6" s="310"/>
      <c r="G6" s="310"/>
      <c r="H6" s="310"/>
      <c r="I6" s="310"/>
    </row>
    <row r="8" spans="1:11" ht="60" x14ac:dyDescent="0.25">
      <c r="A8" s="184" t="s">
        <v>545</v>
      </c>
      <c r="B8" s="184" t="s">
        <v>5</v>
      </c>
      <c r="C8" s="79" t="s">
        <v>544</v>
      </c>
      <c r="D8" s="79" t="s">
        <v>543</v>
      </c>
      <c r="E8" s="184" t="s">
        <v>542</v>
      </c>
      <c r="F8" s="184" t="s">
        <v>517</v>
      </c>
      <c r="G8" s="184" t="s">
        <v>516</v>
      </c>
      <c r="H8" s="184" t="s">
        <v>515</v>
      </c>
      <c r="I8" s="79" t="s">
        <v>541</v>
      </c>
      <c r="J8" s="79" t="s">
        <v>560</v>
      </c>
    </row>
    <row r="9" spans="1:11" x14ac:dyDescent="0.2">
      <c r="A9" s="238" t="s">
        <v>540</v>
      </c>
      <c r="B9" s="238" t="s">
        <v>539</v>
      </c>
      <c r="C9" s="243">
        <v>3400000</v>
      </c>
      <c r="D9" s="243">
        <f>C9</f>
        <v>3400000</v>
      </c>
      <c r="E9" s="239">
        <v>53040000</v>
      </c>
      <c r="F9" s="239">
        <f>53040000+5928000</f>
        <v>58968000</v>
      </c>
      <c r="G9" s="239">
        <f>53040000+5928000</f>
        <v>58968000</v>
      </c>
      <c r="H9" s="239">
        <f>53040000+5928000</f>
        <v>58968000</v>
      </c>
      <c r="I9" s="239">
        <f t="shared" ref="I9:I17" si="0">H9-G9</f>
        <v>0</v>
      </c>
      <c r="J9" s="221">
        <v>5928000</v>
      </c>
    </row>
    <row r="10" spans="1:11" x14ac:dyDescent="0.2">
      <c r="A10" s="238" t="s">
        <v>548</v>
      </c>
      <c r="B10" s="238" t="s">
        <v>80</v>
      </c>
      <c r="C10" s="243">
        <v>3300000</v>
      </c>
      <c r="D10" s="243">
        <v>3300000</v>
      </c>
      <c r="E10" s="239">
        <v>38940000</v>
      </c>
      <c r="F10" s="239">
        <f>E10</f>
        <v>38940000</v>
      </c>
      <c r="G10" s="239">
        <f>F10</f>
        <v>38940000</v>
      </c>
      <c r="H10" s="239">
        <f>G10</f>
        <v>38940000</v>
      </c>
      <c r="I10" s="239">
        <f t="shared" si="0"/>
        <v>0</v>
      </c>
      <c r="J10" s="221">
        <v>0</v>
      </c>
    </row>
    <row r="11" spans="1:11" x14ac:dyDescent="0.2">
      <c r="A11" s="238" t="s">
        <v>538</v>
      </c>
      <c r="B11" s="238" t="s">
        <v>537</v>
      </c>
      <c r="C11" s="240" t="s">
        <v>549</v>
      </c>
      <c r="D11" s="240" t="s">
        <v>550</v>
      </c>
      <c r="E11" s="239">
        <f>' KESZI ktgvetési mérleg'!B40</f>
        <v>25880800</v>
      </c>
      <c r="F11" s="239">
        <f>26733344+4675000</f>
        <v>31408344</v>
      </c>
      <c r="G11" s="239">
        <f>F11</f>
        <v>31408344</v>
      </c>
      <c r="H11" s="239">
        <f>26489760+4675000</f>
        <v>31164760</v>
      </c>
      <c r="I11" s="239">
        <f t="shared" si="0"/>
        <v>-243584</v>
      </c>
      <c r="J11" s="221">
        <v>4675000</v>
      </c>
    </row>
    <row r="12" spans="1:11" x14ac:dyDescent="0.2">
      <c r="A12" s="238" t="s">
        <v>536</v>
      </c>
      <c r="B12" s="238" t="s">
        <v>41</v>
      </c>
      <c r="C12" s="240" t="s">
        <v>551</v>
      </c>
      <c r="D12" s="240" t="s">
        <v>552</v>
      </c>
      <c r="E12" s="239">
        <f>' KESZI ktgvetési mérleg'!B41</f>
        <v>63921000</v>
      </c>
      <c r="F12" s="239">
        <v>56199000</v>
      </c>
      <c r="G12" s="239">
        <f>F12</f>
        <v>56199000</v>
      </c>
      <c r="H12" s="239">
        <v>55341000</v>
      </c>
      <c r="I12" s="239">
        <f t="shared" si="0"/>
        <v>-858000</v>
      </c>
      <c r="J12" s="221">
        <v>0</v>
      </c>
      <c r="K12" s="217"/>
    </row>
    <row r="13" spans="1:11" x14ac:dyDescent="0.2">
      <c r="A13" s="238" t="s">
        <v>535</v>
      </c>
      <c r="B13" s="238" t="s">
        <v>534</v>
      </c>
      <c r="C13" s="240" t="s">
        <v>553</v>
      </c>
      <c r="D13" s="240" t="s">
        <v>554</v>
      </c>
      <c r="E13" s="239">
        <f>' KESZI ktgvetési mérleg'!B42</f>
        <v>8992500</v>
      </c>
      <c r="F13" s="239">
        <f>7521000+6683000</f>
        <v>14204000</v>
      </c>
      <c r="G13" s="239">
        <f>F13</f>
        <v>14204000</v>
      </c>
      <c r="H13" s="239">
        <f>7030500+6683000</f>
        <v>13713500</v>
      </c>
      <c r="I13" s="239">
        <f t="shared" si="0"/>
        <v>-490500</v>
      </c>
      <c r="J13" s="221">
        <v>6683000</v>
      </c>
    </row>
    <row r="14" spans="1:11" ht="57" x14ac:dyDescent="0.2">
      <c r="A14" s="241" t="s">
        <v>533</v>
      </c>
      <c r="B14" s="241" t="s">
        <v>532</v>
      </c>
      <c r="C14" s="242" t="s">
        <v>555</v>
      </c>
      <c r="D14" s="242" t="s">
        <v>556</v>
      </c>
      <c r="E14" s="239">
        <f>' KESZI ktgvetési mérleg'!B43</f>
        <v>21450000</v>
      </c>
      <c r="F14" s="239">
        <f>9350000+2200000+17050000+8108000</f>
        <v>36708000</v>
      </c>
      <c r="G14" s="239">
        <f>F14</f>
        <v>36708000</v>
      </c>
      <c r="H14" s="239">
        <f>9350000+2420000+16500000+8108000</f>
        <v>36378000</v>
      </c>
      <c r="I14" s="239">
        <f t="shared" si="0"/>
        <v>-330000</v>
      </c>
      <c r="J14" s="221">
        <v>8108000</v>
      </c>
    </row>
    <row r="15" spans="1:11" x14ac:dyDescent="0.2">
      <c r="A15" s="238" t="s">
        <v>531</v>
      </c>
      <c r="B15" s="238" t="s">
        <v>530</v>
      </c>
      <c r="C15" s="240" t="s">
        <v>527</v>
      </c>
      <c r="D15" s="240" t="s">
        <v>527</v>
      </c>
      <c r="E15" s="239">
        <f>' KESZI ktgvetési mérleg'!B44</f>
        <v>8903520</v>
      </c>
      <c r="F15" s="239">
        <f>E15+1426000</f>
        <v>10329520</v>
      </c>
      <c r="G15" s="239">
        <f>F15</f>
        <v>10329520</v>
      </c>
      <c r="H15" s="239">
        <f>G15</f>
        <v>10329520</v>
      </c>
      <c r="I15" s="239">
        <f t="shared" si="0"/>
        <v>0</v>
      </c>
      <c r="J15" s="221">
        <v>1426000</v>
      </c>
      <c r="K15" s="35"/>
    </row>
    <row r="16" spans="1:11" x14ac:dyDescent="0.2">
      <c r="A16" s="238" t="s">
        <v>529</v>
      </c>
      <c r="B16" s="238" t="s">
        <v>528</v>
      </c>
      <c r="C16" s="240" t="s">
        <v>557</v>
      </c>
      <c r="D16" s="240" t="s">
        <v>558</v>
      </c>
      <c r="E16" s="239">
        <f>' KESZI ktgvetési mérleg'!B45</f>
        <v>19404000</v>
      </c>
      <c r="F16" s="239">
        <f>G16</f>
        <v>24163000</v>
      </c>
      <c r="G16" s="239">
        <f>21021000+3142000</f>
        <v>24163000</v>
      </c>
      <c r="H16" s="239">
        <f>22099000+3142000</f>
        <v>25241000</v>
      </c>
      <c r="I16" s="239">
        <f t="shared" si="0"/>
        <v>1078000</v>
      </c>
      <c r="J16" s="221">
        <v>3142000</v>
      </c>
    </row>
    <row r="17" spans="1:11" ht="28.5" x14ac:dyDescent="0.2">
      <c r="A17" s="238" t="s">
        <v>526</v>
      </c>
      <c r="B17" s="241" t="s">
        <v>525</v>
      </c>
      <c r="C17" s="240"/>
      <c r="D17" s="240"/>
      <c r="E17" s="239">
        <f>'CSGYK ktgvetési mérleg'!B41</f>
        <v>37589415</v>
      </c>
      <c r="F17" s="239">
        <f>'CSGYK ktgvetési mérleg'!E41</f>
        <v>76798415</v>
      </c>
      <c r="G17" s="239">
        <f>'CSGYK ktgvetési mérleg'!F41</f>
        <v>76798415</v>
      </c>
      <c r="H17" s="239">
        <f>37589415+39209000</f>
        <v>76798415</v>
      </c>
      <c r="I17" s="239">
        <f t="shared" si="0"/>
        <v>0</v>
      </c>
      <c r="J17" s="221">
        <v>39209000</v>
      </c>
    </row>
    <row r="18" spans="1:11" x14ac:dyDescent="0.2">
      <c r="A18" s="238" t="s">
        <v>524</v>
      </c>
      <c r="B18" s="238" t="s">
        <v>523</v>
      </c>
      <c r="C18" s="240" t="s">
        <v>522</v>
      </c>
      <c r="D18" s="240" t="s">
        <v>522</v>
      </c>
      <c r="E18" s="239">
        <v>96832000</v>
      </c>
      <c r="F18" s="239">
        <v>96832000</v>
      </c>
      <c r="G18" s="239">
        <v>96832000</v>
      </c>
      <c r="H18" s="239">
        <v>96832000</v>
      </c>
      <c r="I18" s="239">
        <f>H18-G18</f>
        <v>0</v>
      </c>
      <c r="J18" s="221">
        <v>0</v>
      </c>
      <c r="K18" s="217"/>
    </row>
    <row r="19" spans="1:11" x14ac:dyDescent="0.2">
      <c r="A19" s="238" t="s">
        <v>521</v>
      </c>
      <c r="B19" s="238" t="s">
        <v>520</v>
      </c>
      <c r="C19" s="240"/>
      <c r="D19" s="240"/>
      <c r="E19" s="239">
        <v>44388000</v>
      </c>
      <c r="F19" s="239">
        <v>44388000</v>
      </c>
      <c r="G19" s="239">
        <v>44388000</v>
      </c>
      <c r="H19" s="239">
        <v>44388000</v>
      </c>
      <c r="I19" s="239">
        <f>H19-G19</f>
        <v>0</v>
      </c>
      <c r="J19" s="238"/>
      <c r="K19" s="217"/>
    </row>
    <row r="20" spans="1:11" ht="15" x14ac:dyDescent="0.25">
      <c r="A20" s="238"/>
      <c r="B20" s="237" t="s">
        <v>49</v>
      </c>
      <c r="C20" s="237"/>
      <c r="D20" s="237"/>
      <c r="E20" s="236">
        <f>SUM(E9:E19)</f>
        <v>419341235</v>
      </c>
      <c r="F20" s="236">
        <f>SUM(F9:F19)</f>
        <v>488938279</v>
      </c>
      <c r="G20" s="236">
        <f>SUM(G9:G19)</f>
        <v>488938279</v>
      </c>
      <c r="H20" s="236">
        <f>SUM(H9:H19)</f>
        <v>488094195</v>
      </c>
      <c r="I20" s="236">
        <f>SUM(I9:I19)</f>
        <v>-844084</v>
      </c>
      <c r="J20" s="238"/>
      <c r="K20" s="217"/>
    </row>
    <row r="21" spans="1:11" ht="15" x14ac:dyDescent="0.25">
      <c r="A21" s="223"/>
      <c r="B21" s="235" t="s">
        <v>519</v>
      </c>
      <c r="C21" s="234"/>
      <c r="D21" s="234"/>
      <c r="E21" s="233"/>
      <c r="F21" s="233"/>
      <c r="G21" s="233"/>
      <c r="H21" s="233"/>
      <c r="I21" s="233">
        <v>0</v>
      </c>
      <c r="J21" s="217">
        <f>SUM(J9:J20)</f>
        <v>69171000</v>
      </c>
      <c r="K21" s="217"/>
    </row>
    <row r="22" spans="1:11" ht="15" x14ac:dyDescent="0.25">
      <c r="A22" s="223"/>
      <c r="B22" s="235" t="s">
        <v>518</v>
      </c>
      <c r="C22" s="234"/>
      <c r="D22" s="234"/>
      <c r="E22" s="233"/>
      <c r="F22" s="233"/>
      <c r="G22" s="233"/>
      <c r="H22" s="233"/>
      <c r="I22" s="233">
        <f>I20-I21</f>
        <v>-844084</v>
      </c>
      <c r="J22" s="218"/>
    </row>
    <row r="23" spans="1:11" x14ac:dyDescent="0.2">
      <c r="J23" s="217"/>
    </row>
    <row r="24" spans="1:11" ht="15" x14ac:dyDescent="0.25">
      <c r="B24" s="184" t="s">
        <v>98</v>
      </c>
      <c r="F24" s="172" t="s">
        <v>517</v>
      </c>
      <c r="G24" s="172" t="s">
        <v>516</v>
      </c>
      <c r="H24" s="172" t="s">
        <v>515</v>
      </c>
    </row>
    <row r="25" spans="1:11" x14ac:dyDescent="0.2">
      <c r="B25" s="232" t="s">
        <v>513</v>
      </c>
      <c r="C25" s="227"/>
      <c r="D25" s="227"/>
      <c r="E25" s="227"/>
      <c r="F25" s="221">
        <f>' KESZI ktgvetési mérleg'!E52</f>
        <v>2683764</v>
      </c>
      <c r="G25" s="221">
        <f>F25</f>
        <v>2683764</v>
      </c>
      <c r="H25" s="221">
        <f>G25</f>
        <v>2683764</v>
      </c>
      <c r="I25" s="231">
        <f>SUM(H25+H26)</f>
        <v>5108547</v>
      </c>
    </row>
    <row r="26" spans="1:11" x14ac:dyDescent="0.2">
      <c r="B26" s="232" t="s">
        <v>152</v>
      </c>
      <c r="C26" s="227"/>
      <c r="D26" s="227"/>
      <c r="E26" s="227"/>
      <c r="F26" s="221">
        <f>'CSGYK ktgvetési mérleg'!E43</f>
        <v>2424783</v>
      </c>
      <c r="G26" s="221">
        <f>F26</f>
        <v>2424783</v>
      </c>
      <c r="H26" s="221">
        <f>G26</f>
        <v>2424783</v>
      </c>
      <c r="I26" s="231">
        <f>SUM(G26+G25)</f>
        <v>5108547</v>
      </c>
    </row>
    <row r="27" spans="1:11" ht="15" x14ac:dyDescent="0.25">
      <c r="B27" s="184" t="s">
        <v>514</v>
      </c>
      <c r="F27" s="223"/>
      <c r="G27" s="223"/>
      <c r="I27" s="228"/>
    </row>
    <row r="28" spans="1:11" x14ac:dyDescent="0.2">
      <c r="B28" s="232" t="s">
        <v>513</v>
      </c>
      <c r="C28" s="227"/>
      <c r="D28" s="227"/>
      <c r="E28" s="226"/>
      <c r="F28" s="221">
        <f>' KESZI ktgvetési mérleg'!E51</f>
        <v>52832753</v>
      </c>
      <c r="G28" s="221">
        <f>F28</f>
        <v>52832753</v>
      </c>
      <c r="H28" s="221">
        <f>G28</f>
        <v>52832753</v>
      </c>
      <c r="I28" s="231">
        <f>SUM(H28+H29+H31)</f>
        <v>89960308</v>
      </c>
    </row>
    <row r="29" spans="1:11" x14ac:dyDescent="0.2">
      <c r="B29" s="232" t="s">
        <v>152</v>
      </c>
      <c r="C29" s="227"/>
      <c r="D29" s="227"/>
      <c r="E29" s="226"/>
      <c r="F29" s="221">
        <f>'CSGYK ktgvetési mérleg'!E42</f>
        <v>36703458</v>
      </c>
      <c r="G29" s="221">
        <f>F29</f>
        <v>36703458</v>
      </c>
      <c r="H29" s="221">
        <f>G29</f>
        <v>36703458</v>
      </c>
      <c r="I29" s="231">
        <f>SUM(G28:G29)</f>
        <v>89536211</v>
      </c>
    </row>
    <row r="30" spans="1:11" x14ac:dyDescent="0.2">
      <c r="B30" s="223"/>
      <c r="C30" s="223"/>
      <c r="D30" s="223"/>
      <c r="E30" s="223"/>
      <c r="F30" s="230"/>
      <c r="G30" s="230"/>
      <c r="I30" s="228"/>
    </row>
    <row r="31" spans="1:11" x14ac:dyDescent="0.2">
      <c r="B31" s="229" t="s">
        <v>512</v>
      </c>
      <c r="C31" s="227"/>
      <c r="D31" s="227"/>
      <c r="E31" s="226"/>
      <c r="F31" s="221">
        <f>' KESZI ktgvetési mérleg'!E53</f>
        <v>424097</v>
      </c>
      <c r="G31" s="221">
        <f>F31</f>
        <v>424097</v>
      </c>
      <c r="H31" s="221">
        <f>G31</f>
        <v>424097</v>
      </c>
      <c r="I31" s="228"/>
    </row>
    <row r="32" spans="1:11" x14ac:dyDescent="0.2">
      <c r="B32" s="224"/>
      <c r="C32" s="223"/>
      <c r="D32" s="223"/>
      <c r="E32" s="223"/>
      <c r="F32" s="222"/>
      <c r="G32" s="222"/>
    </row>
    <row r="33" spans="2:8" ht="30" customHeight="1" x14ac:dyDescent="0.25">
      <c r="B33" s="314" t="s">
        <v>559</v>
      </c>
      <c r="C33" s="315"/>
      <c r="D33" s="315"/>
      <c r="E33" s="316"/>
      <c r="F33" s="225">
        <f>' KESZI ktgvetési mérleg'!E58+' KESZI ktgvetési mérleg'!E59</f>
        <v>10863189</v>
      </c>
      <c r="G33" s="221">
        <f>F33</f>
        <v>10863189</v>
      </c>
      <c r="H33" s="221">
        <f>G33</f>
        <v>10863189</v>
      </c>
    </row>
    <row r="34" spans="2:8" x14ac:dyDescent="0.2">
      <c r="B34" s="224"/>
      <c r="C34" s="223"/>
      <c r="D34" s="223"/>
      <c r="E34" s="223"/>
      <c r="F34" s="222"/>
      <c r="G34" s="222"/>
    </row>
    <row r="35" spans="2:8" x14ac:dyDescent="0.2">
      <c r="B35" s="311" t="s">
        <v>616</v>
      </c>
      <c r="C35" s="312"/>
      <c r="D35" s="312"/>
      <c r="E35" s="313"/>
      <c r="F35" s="221">
        <f>' KESZI ktgvetési mérleg'!E49</f>
        <v>24879440</v>
      </c>
      <c r="G35" s="221">
        <f>F35</f>
        <v>24879440</v>
      </c>
      <c r="H35" s="221">
        <f>G35</f>
        <v>24879440</v>
      </c>
    </row>
    <row r="36" spans="2:8" ht="15" x14ac:dyDescent="0.25">
      <c r="B36" s="220" t="s">
        <v>511</v>
      </c>
      <c r="F36" s="219">
        <f>F31+F29+F28+F26+F25+F20+F35+F33</f>
        <v>619749763</v>
      </c>
      <c r="G36" s="219">
        <f>G31+G29+G28+G26+G25+G20+G35+G33</f>
        <v>619749763</v>
      </c>
      <c r="H36" s="219">
        <f>H20+H25+H26+H28+H29+H31+H33+H35</f>
        <v>618905679</v>
      </c>
    </row>
    <row r="37" spans="2:8" s="246" customFormat="1" ht="15" x14ac:dyDescent="0.25">
      <c r="B37" s="220"/>
      <c r="F37" s="219"/>
      <c r="G37" s="219"/>
      <c r="H37" s="219"/>
    </row>
    <row r="38" spans="2:8" s="246" customFormat="1" ht="15" x14ac:dyDescent="0.25">
      <c r="B38" s="220"/>
      <c r="F38" s="219"/>
      <c r="G38" s="219"/>
      <c r="H38" s="219"/>
    </row>
    <row r="39" spans="2:8" s="246" customFormat="1" ht="15.75" x14ac:dyDescent="0.25">
      <c r="B39" s="271" t="s">
        <v>617</v>
      </c>
      <c r="F39" s="219"/>
      <c r="G39" s="219"/>
      <c r="H39" s="219"/>
    </row>
    <row r="40" spans="2:8" s="246" customFormat="1" ht="15.75" x14ac:dyDescent="0.25">
      <c r="B40" s="272" t="s">
        <v>618</v>
      </c>
      <c r="F40" s="219"/>
      <c r="G40" s="219"/>
      <c r="H40" s="219"/>
    </row>
    <row r="41" spans="2:8" s="246" customFormat="1" ht="15.75" x14ac:dyDescent="0.25">
      <c r="B41" s="272" t="s">
        <v>619</v>
      </c>
      <c r="F41" s="219"/>
      <c r="G41" s="219"/>
      <c r="H41" s="219"/>
    </row>
    <row r="42" spans="2:8" s="246" customFormat="1" ht="15.75" x14ac:dyDescent="0.25">
      <c r="B42" s="272" t="s">
        <v>620</v>
      </c>
      <c r="F42" s="219"/>
      <c r="G42" s="219"/>
      <c r="H42" s="219"/>
    </row>
    <row r="43" spans="2:8" s="246" customFormat="1" ht="15.75" x14ac:dyDescent="0.25">
      <c r="B43" s="272"/>
      <c r="F43" s="219"/>
      <c r="G43" s="219"/>
      <c r="H43" s="219"/>
    </row>
    <row r="44" spans="2:8" s="246" customFormat="1" ht="15.75" x14ac:dyDescent="0.25">
      <c r="B44" s="271" t="s">
        <v>621</v>
      </c>
      <c r="F44" s="219"/>
      <c r="G44" s="219"/>
      <c r="H44" s="219"/>
    </row>
    <row r="45" spans="2:8" s="246" customFormat="1" ht="15.75" x14ac:dyDescent="0.25">
      <c r="B45" s="272" t="s">
        <v>622</v>
      </c>
      <c r="F45" s="219"/>
      <c r="G45" s="219"/>
      <c r="H45" s="219"/>
    </row>
    <row r="46" spans="2:8" s="246" customFormat="1" ht="15.75" x14ac:dyDescent="0.25">
      <c r="B46" s="271" t="s">
        <v>623</v>
      </c>
      <c r="F46" s="219"/>
      <c r="G46" s="219"/>
      <c r="H46" s="219"/>
    </row>
    <row r="47" spans="2:8" x14ac:dyDescent="0.2">
      <c r="F47" s="218"/>
      <c r="G47" s="217"/>
    </row>
    <row r="48" spans="2:8" x14ac:dyDescent="0.2">
      <c r="B48" s="172" t="s">
        <v>143</v>
      </c>
      <c r="F48" s="217"/>
    </row>
  </sheetData>
  <mergeCells count="6">
    <mergeCell ref="A3:I3"/>
    <mergeCell ref="A4:I4"/>
    <mergeCell ref="A5:I5"/>
    <mergeCell ref="A6:I6"/>
    <mergeCell ref="B35:E35"/>
    <mergeCell ref="B33:E33"/>
  </mergeCells>
  <pageMargins left="0.7" right="0.7" top="0.75" bottom="0.75" header="0.3" footer="0.3"/>
  <pageSetup paperSize="8" scale="9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/>
  <dimension ref="A1:J83"/>
  <sheetViews>
    <sheetView view="pageBreakPreview" topLeftCell="A46" zoomScale="60" zoomScaleNormal="100" workbookViewId="0">
      <selection activeCell="J76" sqref="J76"/>
    </sheetView>
  </sheetViews>
  <sheetFormatPr defaultColWidth="9" defaultRowHeight="14.25" x14ac:dyDescent="0.2"/>
  <cols>
    <col min="1" max="1" width="9" style="172"/>
    <col min="2" max="2" width="33.375" style="172" customWidth="1"/>
    <col min="3" max="3" width="17" style="172" customWidth="1"/>
    <col min="4" max="4" width="17.75" style="172" customWidth="1"/>
    <col min="5" max="5" width="15.875" style="172" customWidth="1"/>
    <col min="6" max="6" width="9" style="172"/>
    <col min="7" max="7" width="33.125" style="172" customWidth="1"/>
    <col min="8" max="9" width="16.875" style="172" customWidth="1"/>
    <col min="10" max="10" width="12.625" style="172" bestFit="1" customWidth="1"/>
    <col min="11" max="16384" width="9" style="172"/>
  </cols>
  <sheetData>
    <row r="1" spans="1:9" x14ac:dyDescent="0.2">
      <c r="H1" s="172" t="s">
        <v>591</v>
      </c>
    </row>
    <row r="2" spans="1:9" ht="15" x14ac:dyDescent="0.25">
      <c r="B2" s="289" t="s">
        <v>0</v>
      </c>
      <c r="C2" s="289"/>
      <c r="D2" s="289"/>
      <c r="E2" s="289"/>
      <c r="F2" s="289"/>
      <c r="G2" s="289"/>
      <c r="H2" s="289"/>
      <c r="I2" s="289"/>
    </row>
    <row r="3" spans="1:9" ht="15" x14ac:dyDescent="0.25">
      <c r="B3" s="289" t="s">
        <v>171</v>
      </c>
      <c r="C3" s="289"/>
      <c r="D3" s="289"/>
      <c r="E3" s="289"/>
      <c r="F3" s="289"/>
      <c r="G3" s="289"/>
      <c r="H3" s="289"/>
      <c r="I3" s="289"/>
    </row>
    <row r="4" spans="1:9" ht="15" x14ac:dyDescent="0.25">
      <c r="B4" s="289" t="s">
        <v>172</v>
      </c>
      <c r="C4" s="289"/>
      <c r="D4" s="289"/>
      <c r="E4" s="289"/>
      <c r="F4" s="289"/>
      <c r="G4" s="289"/>
      <c r="H4" s="289"/>
      <c r="I4" s="289"/>
    </row>
    <row r="5" spans="1:9" ht="15" x14ac:dyDescent="0.25">
      <c r="B5" s="289" t="s">
        <v>173</v>
      </c>
      <c r="C5" s="289"/>
      <c r="D5" s="289"/>
      <c r="E5" s="289"/>
      <c r="F5" s="289"/>
      <c r="G5" s="289"/>
      <c r="H5" s="289"/>
      <c r="I5" s="289"/>
    </row>
    <row r="7" spans="1:9" ht="15" x14ac:dyDescent="0.25">
      <c r="A7" s="184" t="s">
        <v>174</v>
      </c>
      <c r="F7" s="184" t="s">
        <v>175</v>
      </c>
    </row>
    <row r="8" spans="1:9" x14ac:dyDescent="0.2">
      <c r="A8" s="319" t="s">
        <v>176</v>
      </c>
      <c r="B8" s="292"/>
      <c r="C8" s="292"/>
      <c r="D8" s="292"/>
      <c r="F8" s="317" t="s">
        <v>177</v>
      </c>
      <c r="G8" s="292"/>
      <c r="H8" s="292"/>
      <c r="I8" s="292"/>
    </row>
    <row r="9" spans="1:9" ht="15" x14ac:dyDescent="0.2">
      <c r="A9" s="185" t="s">
        <v>178</v>
      </c>
      <c r="B9" s="185" t="s">
        <v>5</v>
      </c>
      <c r="C9" s="185" t="s">
        <v>179</v>
      </c>
      <c r="D9" s="185" t="s">
        <v>180</v>
      </c>
      <c r="F9" s="186" t="s">
        <v>178</v>
      </c>
      <c r="G9" s="186" t="s">
        <v>5</v>
      </c>
      <c r="H9" s="186" t="s">
        <v>179</v>
      </c>
      <c r="I9" s="186" t="s">
        <v>180</v>
      </c>
    </row>
    <row r="10" spans="1:9" ht="15" x14ac:dyDescent="0.2">
      <c r="A10" s="185"/>
      <c r="B10" s="185"/>
      <c r="C10" s="185"/>
      <c r="D10" s="185"/>
      <c r="F10" s="186"/>
      <c r="G10" s="186"/>
      <c r="H10" s="186"/>
      <c r="I10" s="186"/>
    </row>
    <row r="11" spans="1:9" ht="24.95" customHeight="1" x14ac:dyDescent="0.2">
      <c r="A11" s="187" t="s">
        <v>181</v>
      </c>
      <c r="B11" s="188" t="s">
        <v>182</v>
      </c>
      <c r="C11" s="189">
        <v>418644134</v>
      </c>
      <c r="D11" s="189">
        <v>692908678</v>
      </c>
      <c r="E11" s="217"/>
      <c r="F11" s="190" t="s">
        <v>181</v>
      </c>
      <c r="G11" s="191" t="s">
        <v>182</v>
      </c>
      <c r="H11" s="192">
        <v>0</v>
      </c>
      <c r="I11" s="192">
        <v>269049217</v>
      </c>
    </row>
    <row r="12" spans="1:9" ht="24.95" customHeight="1" x14ac:dyDescent="0.2">
      <c r="A12" s="187" t="s">
        <v>183</v>
      </c>
      <c r="B12" s="188" t="s">
        <v>184</v>
      </c>
      <c r="C12" s="189">
        <v>12778314</v>
      </c>
      <c r="D12" s="189">
        <v>24984174</v>
      </c>
      <c r="E12" s="217"/>
      <c r="F12" s="190" t="s">
        <v>183</v>
      </c>
      <c r="G12" s="191" t="s">
        <v>184</v>
      </c>
      <c r="H12" s="192">
        <v>197376</v>
      </c>
      <c r="I12" s="192">
        <v>7066323</v>
      </c>
    </row>
    <row r="13" spans="1:9" ht="24.95" customHeight="1" x14ac:dyDescent="0.2">
      <c r="A13" s="187" t="s">
        <v>185</v>
      </c>
      <c r="B13" s="188" t="s">
        <v>186</v>
      </c>
      <c r="C13" s="189">
        <v>123914941</v>
      </c>
      <c r="D13" s="189">
        <v>7451199</v>
      </c>
      <c r="E13" s="217"/>
      <c r="F13" s="190" t="s">
        <v>185</v>
      </c>
      <c r="G13" s="191" t="s">
        <v>186</v>
      </c>
      <c r="H13" s="192">
        <v>123914941</v>
      </c>
      <c r="I13" s="192">
        <v>7451199</v>
      </c>
    </row>
    <row r="14" spans="1:9" ht="24.95" customHeight="1" x14ac:dyDescent="0.2">
      <c r="A14" s="193" t="s">
        <v>187</v>
      </c>
      <c r="B14" s="194" t="s">
        <v>188</v>
      </c>
      <c r="C14" s="195">
        <v>555337389</v>
      </c>
      <c r="D14" s="195">
        <v>725344051</v>
      </c>
      <c r="F14" s="196" t="s">
        <v>187</v>
      </c>
      <c r="G14" s="197" t="s">
        <v>188</v>
      </c>
      <c r="H14" s="198">
        <v>124112317</v>
      </c>
      <c r="I14" s="198">
        <v>283566739</v>
      </c>
    </row>
    <row r="15" spans="1:9" ht="24.95" customHeight="1" x14ac:dyDescent="0.2">
      <c r="A15" s="193" t="s">
        <v>189</v>
      </c>
      <c r="B15" s="194" t="s">
        <v>190</v>
      </c>
      <c r="C15" s="195">
        <v>555337389</v>
      </c>
      <c r="D15" s="195">
        <v>725344051</v>
      </c>
      <c r="F15" s="196" t="s">
        <v>189</v>
      </c>
      <c r="G15" s="197" t="s">
        <v>190</v>
      </c>
      <c r="H15" s="198">
        <v>124112317</v>
      </c>
      <c r="I15" s="198">
        <v>283566739</v>
      </c>
    </row>
    <row r="16" spans="1:9" ht="24.95" customHeight="1" x14ac:dyDescent="0.2">
      <c r="A16" s="193" t="s">
        <v>191</v>
      </c>
      <c r="B16" s="194" t="s">
        <v>192</v>
      </c>
      <c r="C16" s="195">
        <v>4483837</v>
      </c>
      <c r="D16" s="195">
        <v>7669060</v>
      </c>
      <c r="E16" s="217"/>
      <c r="F16" s="190" t="s">
        <v>193</v>
      </c>
      <c r="G16" s="191" t="s">
        <v>194</v>
      </c>
      <c r="H16" s="192">
        <v>97277679</v>
      </c>
      <c r="I16" s="192">
        <v>57042088</v>
      </c>
    </row>
    <row r="17" spans="1:9" ht="24.95" customHeight="1" x14ac:dyDescent="0.2">
      <c r="A17" s="193" t="s">
        <v>195</v>
      </c>
      <c r="B17" s="194" t="s">
        <v>196</v>
      </c>
      <c r="C17" s="195">
        <v>4483837</v>
      </c>
      <c r="D17" s="195">
        <v>7669060</v>
      </c>
      <c r="F17" s="190" t="s">
        <v>197</v>
      </c>
      <c r="G17" s="191" t="s">
        <v>198</v>
      </c>
      <c r="H17" s="192">
        <v>168328400</v>
      </c>
      <c r="I17" s="192">
        <v>8590815</v>
      </c>
    </row>
    <row r="18" spans="1:9" ht="24.95" customHeight="1" x14ac:dyDescent="0.2">
      <c r="A18" s="193" t="s">
        <v>199</v>
      </c>
      <c r="B18" s="194" t="s">
        <v>200</v>
      </c>
      <c r="C18" s="195">
        <v>2461996</v>
      </c>
      <c r="D18" s="195">
        <v>3579166</v>
      </c>
      <c r="F18" s="196" t="s">
        <v>201</v>
      </c>
      <c r="G18" s="197" t="s">
        <v>202</v>
      </c>
      <c r="H18" s="198">
        <v>265606079</v>
      </c>
      <c r="I18" s="198">
        <v>65632903</v>
      </c>
    </row>
    <row r="19" spans="1:9" ht="24.95" customHeight="1" x14ac:dyDescent="0.2">
      <c r="A19" s="187" t="s">
        <v>193</v>
      </c>
      <c r="B19" s="188" t="s">
        <v>194</v>
      </c>
      <c r="C19" s="189">
        <v>182753302</v>
      </c>
      <c r="D19" s="189">
        <v>115381553</v>
      </c>
      <c r="F19" s="196" t="s">
        <v>203</v>
      </c>
      <c r="G19" s="197" t="s">
        <v>204</v>
      </c>
      <c r="H19" s="198">
        <v>265606079</v>
      </c>
      <c r="I19" s="198">
        <v>65632903</v>
      </c>
    </row>
    <row r="20" spans="1:9" ht="24.95" customHeight="1" x14ac:dyDescent="0.2">
      <c r="A20" s="187" t="s">
        <v>197</v>
      </c>
      <c r="B20" s="188" t="s">
        <v>198</v>
      </c>
      <c r="C20" s="189">
        <v>168328400</v>
      </c>
      <c r="D20" s="189">
        <v>8590815</v>
      </c>
      <c r="F20" s="196" t="s">
        <v>205</v>
      </c>
      <c r="G20" s="197" t="s">
        <v>206</v>
      </c>
      <c r="H20" s="198">
        <v>1103130</v>
      </c>
      <c r="I20" s="198">
        <v>1207109</v>
      </c>
    </row>
    <row r="21" spans="1:9" ht="24.95" customHeight="1" x14ac:dyDescent="0.2">
      <c r="A21" s="193" t="s">
        <v>201</v>
      </c>
      <c r="B21" s="194" t="s">
        <v>202</v>
      </c>
      <c r="C21" s="195">
        <v>351081702</v>
      </c>
      <c r="D21" s="195">
        <v>123972368</v>
      </c>
      <c r="F21" s="196" t="s">
        <v>207</v>
      </c>
      <c r="G21" s="197" t="s">
        <v>208</v>
      </c>
      <c r="H21" s="198">
        <v>1103130</v>
      </c>
      <c r="I21" s="198">
        <v>1207109</v>
      </c>
    </row>
    <row r="22" spans="1:9" ht="24.95" customHeight="1" x14ac:dyDescent="0.2">
      <c r="A22" s="193" t="s">
        <v>203</v>
      </c>
      <c r="B22" s="194" t="s">
        <v>204</v>
      </c>
      <c r="C22" s="195">
        <v>353543698</v>
      </c>
      <c r="D22" s="195">
        <v>127551534</v>
      </c>
      <c r="E22" s="217"/>
      <c r="F22" s="190" t="s">
        <v>209</v>
      </c>
      <c r="G22" s="191" t="s">
        <v>210</v>
      </c>
      <c r="H22" s="192">
        <v>12000</v>
      </c>
      <c r="I22" s="192">
        <v>139000</v>
      </c>
    </row>
    <row r="23" spans="1:9" ht="24.95" customHeight="1" x14ac:dyDescent="0.2">
      <c r="A23" s="193" t="s">
        <v>205</v>
      </c>
      <c r="B23" s="194" t="s">
        <v>206</v>
      </c>
      <c r="C23" s="195">
        <v>12267671</v>
      </c>
      <c r="D23" s="195">
        <v>12126744</v>
      </c>
      <c r="F23" s="196" t="s">
        <v>211</v>
      </c>
      <c r="G23" s="197" t="s">
        <v>212</v>
      </c>
      <c r="H23" s="198">
        <v>12000</v>
      </c>
      <c r="I23" s="198">
        <v>139000</v>
      </c>
    </row>
    <row r="24" spans="1:9" ht="24.95" customHeight="1" x14ac:dyDescent="0.2">
      <c r="A24" s="193" t="s">
        <v>213</v>
      </c>
      <c r="B24" s="194" t="s">
        <v>214</v>
      </c>
      <c r="C24" s="195">
        <v>887430</v>
      </c>
      <c r="D24" s="195">
        <v>680669</v>
      </c>
      <c r="F24" s="190" t="s">
        <v>215</v>
      </c>
      <c r="G24" s="191" t="s">
        <v>216</v>
      </c>
      <c r="H24" s="192">
        <v>-6390000</v>
      </c>
      <c r="I24" s="192">
        <v>-142000</v>
      </c>
    </row>
    <row r="25" spans="1:9" ht="24.95" customHeight="1" x14ac:dyDescent="0.2">
      <c r="A25" s="193" t="s">
        <v>207</v>
      </c>
      <c r="B25" s="194" t="s">
        <v>208</v>
      </c>
      <c r="C25" s="195">
        <v>13155101</v>
      </c>
      <c r="D25" s="195">
        <v>12807413</v>
      </c>
      <c r="E25" s="217"/>
      <c r="F25" s="196" t="s">
        <v>217</v>
      </c>
      <c r="G25" s="197" t="s">
        <v>218</v>
      </c>
      <c r="H25" s="198">
        <v>-6390000</v>
      </c>
      <c r="I25" s="198">
        <v>-142000</v>
      </c>
    </row>
    <row r="26" spans="1:9" ht="24.95" customHeight="1" x14ac:dyDescent="0.2">
      <c r="A26" s="193" t="s">
        <v>211</v>
      </c>
      <c r="B26" s="194" t="s">
        <v>212</v>
      </c>
      <c r="C26" s="195">
        <v>1165005</v>
      </c>
      <c r="D26" s="195">
        <v>1280289</v>
      </c>
      <c r="F26" s="196" t="s">
        <v>219</v>
      </c>
      <c r="G26" s="197" t="s">
        <v>220</v>
      </c>
      <c r="H26" s="198">
        <v>-6378000</v>
      </c>
      <c r="I26" s="198">
        <v>-3000</v>
      </c>
    </row>
    <row r="27" spans="1:9" ht="24.95" customHeight="1" x14ac:dyDescent="0.2">
      <c r="A27" s="193" t="s">
        <v>217</v>
      </c>
      <c r="B27" s="194" t="s">
        <v>218</v>
      </c>
      <c r="C27" s="195">
        <v>-7510768</v>
      </c>
      <c r="D27" s="195">
        <v>-1449289</v>
      </c>
      <c r="F27" s="190" t="s">
        <v>221</v>
      </c>
      <c r="G27" s="191" t="s">
        <v>222</v>
      </c>
      <c r="H27" s="192">
        <v>63056</v>
      </c>
      <c r="I27" s="192">
        <v>35578</v>
      </c>
    </row>
    <row r="28" spans="1:9" ht="24.95" customHeight="1" x14ac:dyDescent="0.2">
      <c r="A28" s="193" t="s">
        <v>219</v>
      </c>
      <c r="B28" s="194" t="s">
        <v>220</v>
      </c>
      <c r="C28" s="195">
        <v>-6345763</v>
      </c>
      <c r="D28" s="195">
        <v>-169000</v>
      </c>
      <c r="E28" s="217"/>
      <c r="F28" s="190" t="s">
        <v>223</v>
      </c>
      <c r="G28" s="191" t="s">
        <v>224</v>
      </c>
      <c r="H28" s="192">
        <v>3128</v>
      </c>
      <c r="I28" s="192">
        <v>0</v>
      </c>
    </row>
    <row r="29" spans="1:9" ht="24.95" customHeight="1" x14ac:dyDescent="0.2">
      <c r="A29" s="187" t="s">
        <v>221</v>
      </c>
      <c r="B29" s="188" t="s">
        <v>222</v>
      </c>
      <c r="C29" s="189">
        <v>63056</v>
      </c>
      <c r="D29" s="189">
        <v>35578</v>
      </c>
      <c r="F29" s="196" t="s">
        <v>225</v>
      </c>
      <c r="G29" s="197" t="s">
        <v>226</v>
      </c>
      <c r="H29" s="198">
        <v>66184</v>
      </c>
      <c r="I29" s="198">
        <v>35578</v>
      </c>
    </row>
    <row r="30" spans="1:9" ht="24.95" customHeight="1" x14ac:dyDescent="0.2">
      <c r="A30" s="187" t="s">
        <v>223</v>
      </c>
      <c r="B30" s="188" t="s">
        <v>224</v>
      </c>
      <c r="C30" s="189">
        <v>617641</v>
      </c>
      <c r="D30" s="189">
        <v>659299</v>
      </c>
      <c r="F30" s="199" t="s">
        <v>227</v>
      </c>
      <c r="G30" s="200" t="s">
        <v>228</v>
      </c>
      <c r="H30" s="201">
        <v>384509710</v>
      </c>
      <c r="I30" s="201">
        <v>350439329</v>
      </c>
    </row>
    <row r="31" spans="1:9" ht="24.95" customHeight="1" x14ac:dyDescent="0.2">
      <c r="A31" s="193" t="s">
        <v>225</v>
      </c>
      <c r="B31" s="194" t="s">
        <v>226</v>
      </c>
      <c r="C31" s="195">
        <v>680697</v>
      </c>
      <c r="D31" s="195">
        <v>694877</v>
      </c>
      <c r="F31" s="190" t="s">
        <v>229</v>
      </c>
      <c r="G31" s="191" t="s">
        <v>230</v>
      </c>
      <c r="H31" s="192">
        <v>26710585</v>
      </c>
      <c r="I31" s="192">
        <v>26710585</v>
      </c>
    </row>
    <row r="32" spans="1:9" ht="24.95" customHeight="1" x14ac:dyDescent="0.2">
      <c r="A32" s="202" t="s">
        <v>227</v>
      </c>
      <c r="B32" s="203" t="s">
        <v>228</v>
      </c>
      <c r="C32" s="204">
        <v>920854959</v>
      </c>
      <c r="D32" s="204">
        <v>873897935</v>
      </c>
      <c r="F32" s="190" t="s">
        <v>231</v>
      </c>
      <c r="G32" s="191" t="s">
        <v>232</v>
      </c>
      <c r="H32" s="192">
        <v>-527162</v>
      </c>
      <c r="I32" s="192">
        <v>0</v>
      </c>
    </row>
    <row r="33" spans="1:10" ht="24.95" customHeight="1" x14ac:dyDescent="0.2">
      <c r="A33" s="187" t="s">
        <v>229</v>
      </c>
      <c r="B33" s="188" t="s">
        <v>230</v>
      </c>
      <c r="C33" s="189">
        <v>614205745</v>
      </c>
      <c r="D33" s="189">
        <v>614205745</v>
      </c>
      <c r="F33" s="190" t="s">
        <v>233</v>
      </c>
      <c r="G33" s="191" t="s">
        <v>234</v>
      </c>
      <c r="H33" s="192">
        <v>23290613</v>
      </c>
      <c r="I33" s="192">
        <v>23290613</v>
      </c>
    </row>
    <row r="34" spans="1:10" ht="24.95" customHeight="1" x14ac:dyDescent="0.2">
      <c r="A34" s="187" t="s">
        <v>231</v>
      </c>
      <c r="B34" s="188" t="s">
        <v>232</v>
      </c>
      <c r="C34" s="189">
        <v>-527162</v>
      </c>
      <c r="D34" s="189">
        <v>0</v>
      </c>
      <c r="F34" s="190" t="s">
        <v>235</v>
      </c>
      <c r="G34" s="191" t="s">
        <v>236</v>
      </c>
      <c r="H34" s="192">
        <v>14886982</v>
      </c>
      <c r="I34" s="192">
        <v>-3865457</v>
      </c>
    </row>
    <row r="35" spans="1:10" ht="24.95" customHeight="1" x14ac:dyDescent="0.2">
      <c r="A35" s="187" t="s">
        <v>233</v>
      </c>
      <c r="B35" s="188" t="s">
        <v>234</v>
      </c>
      <c r="C35" s="189">
        <v>26396336</v>
      </c>
      <c r="D35" s="189">
        <v>26396336</v>
      </c>
      <c r="F35" s="190" t="s">
        <v>237</v>
      </c>
      <c r="G35" s="191" t="s">
        <v>238</v>
      </c>
      <c r="H35" s="192">
        <v>-18752439</v>
      </c>
      <c r="I35" s="192">
        <v>24676283</v>
      </c>
      <c r="J35" s="217"/>
    </row>
    <row r="36" spans="1:10" ht="24.95" customHeight="1" x14ac:dyDescent="0.2">
      <c r="A36" s="187" t="s">
        <v>235</v>
      </c>
      <c r="B36" s="188" t="s">
        <v>236</v>
      </c>
      <c r="C36" s="189">
        <v>-108566971</v>
      </c>
      <c r="D36" s="189">
        <v>-116884144</v>
      </c>
      <c r="F36" s="196" t="s">
        <v>239</v>
      </c>
      <c r="G36" s="197" t="s">
        <v>240</v>
      </c>
      <c r="H36" s="198">
        <v>45608579</v>
      </c>
      <c r="I36" s="198">
        <v>70812024</v>
      </c>
    </row>
    <row r="37" spans="1:10" ht="24.95" customHeight="1" x14ac:dyDescent="0.2">
      <c r="A37" s="187" t="s">
        <v>237</v>
      </c>
      <c r="B37" s="188" t="s">
        <v>238</v>
      </c>
      <c r="C37" s="189">
        <v>-8317173</v>
      </c>
      <c r="D37" s="189">
        <v>363255</v>
      </c>
      <c r="E37" s="217"/>
      <c r="F37" s="196" t="s">
        <v>241</v>
      </c>
      <c r="G37" s="197" t="s">
        <v>242</v>
      </c>
      <c r="H37" s="198">
        <v>5342503</v>
      </c>
      <c r="I37" s="198">
        <v>1865176</v>
      </c>
    </row>
    <row r="38" spans="1:10" ht="24.95" customHeight="1" x14ac:dyDescent="0.2">
      <c r="A38" s="193" t="s">
        <v>239</v>
      </c>
      <c r="B38" s="194" t="s">
        <v>240</v>
      </c>
      <c r="C38" s="195">
        <v>523190775</v>
      </c>
      <c r="D38" s="195">
        <v>524081192</v>
      </c>
      <c r="E38" s="217"/>
      <c r="F38" s="196" t="s">
        <v>243</v>
      </c>
      <c r="G38" s="197" t="s">
        <v>244</v>
      </c>
      <c r="H38" s="198">
        <v>23621755</v>
      </c>
      <c r="I38" s="198">
        <v>0</v>
      </c>
    </row>
    <row r="39" spans="1:10" ht="24.95" customHeight="1" x14ac:dyDescent="0.2">
      <c r="A39" s="193" t="s">
        <v>241</v>
      </c>
      <c r="B39" s="194" t="s">
        <v>242</v>
      </c>
      <c r="C39" s="195">
        <v>5342503</v>
      </c>
      <c r="D39" s="195">
        <v>9191447</v>
      </c>
      <c r="F39" s="196" t="s">
        <v>245</v>
      </c>
      <c r="G39" s="197" t="s">
        <v>246</v>
      </c>
      <c r="H39" s="198">
        <v>527162</v>
      </c>
      <c r="I39" s="198">
        <v>0</v>
      </c>
    </row>
    <row r="40" spans="1:10" ht="24.95" customHeight="1" x14ac:dyDescent="0.2">
      <c r="A40" s="193" t="s">
        <v>243</v>
      </c>
      <c r="B40" s="194" t="s">
        <v>244</v>
      </c>
      <c r="C40" s="195">
        <v>23621755</v>
      </c>
      <c r="D40" s="195">
        <v>0</v>
      </c>
      <c r="F40" s="196" t="s">
        <v>247</v>
      </c>
      <c r="G40" s="197" t="s">
        <v>248</v>
      </c>
      <c r="H40" s="198">
        <v>29491420</v>
      </c>
      <c r="I40" s="198">
        <v>1865176</v>
      </c>
    </row>
    <row r="41" spans="1:10" ht="24.95" customHeight="1" x14ac:dyDescent="0.2">
      <c r="A41" s="193" t="s">
        <v>245</v>
      </c>
      <c r="B41" s="194" t="s">
        <v>246</v>
      </c>
      <c r="C41" s="195">
        <v>2989158</v>
      </c>
      <c r="D41" s="195">
        <v>3601991</v>
      </c>
      <c r="F41" s="190" t="s">
        <v>249</v>
      </c>
      <c r="G41" s="191" t="s">
        <v>250</v>
      </c>
      <c r="H41" s="192">
        <v>347937</v>
      </c>
      <c r="I41" s="192">
        <v>92184</v>
      </c>
    </row>
    <row r="42" spans="1:10" ht="24.95" customHeight="1" x14ac:dyDescent="0.2">
      <c r="A42" s="193" t="s">
        <v>247</v>
      </c>
      <c r="B42" s="194" t="s">
        <v>248</v>
      </c>
      <c r="C42" s="195">
        <v>31953416</v>
      </c>
      <c r="D42" s="195">
        <v>12793438</v>
      </c>
      <c r="E42" s="217"/>
      <c r="F42" s="190" t="s">
        <v>251</v>
      </c>
      <c r="G42" s="191" t="s">
        <v>252</v>
      </c>
      <c r="H42" s="192">
        <v>309061774</v>
      </c>
      <c r="I42" s="192">
        <v>277669945</v>
      </c>
    </row>
    <row r="43" spans="1:10" ht="24.95" customHeight="1" x14ac:dyDescent="0.2">
      <c r="A43" s="187" t="s">
        <v>249</v>
      </c>
      <c r="B43" s="188" t="s">
        <v>250</v>
      </c>
      <c r="C43" s="189">
        <v>56648994</v>
      </c>
      <c r="D43" s="189">
        <v>59353360</v>
      </c>
      <c r="F43" s="196" t="s">
        <v>253</v>
      </c>
      <c r="G43" s="197" t="s">
        <v>254</v>
      </c>
      <c r="H43" s="198">
        <v>309409711</v>
      </c>
      <c r="I43" s="198">
        <v>277762129</v>
      </c>
    </row>
    <row r="44" spans="1:10" ht="24.95" customHeight="1" x14ac:dyDescent="0.2">
      <c r="A44" s="187" t="s">
        <v>251</v>
      </c>
      <c r="B44" s="188" t="s">
        <v>252</v>
      </c>
      <c r="C44" s="189">
        <v>309061774</v>
      </c>
      <c r="D44" s="189">
        <v>277669945</v>
      </c>
      <c r="F44" s="199" t="s">
        <v>255</v>
      </c>
      <c r="G44" s="200" t="s">
        <v>256</v>
      </c>
      <c r="H44" s="201">
        <v>384509710</v>
      </c>
      <c r="I44" s="201">
        <v>350439329</v>
      </c>
    </row>
    <row r="45" spans="1:10" ht="24.95" customHeight="1" x14ac:dyDescent="0.2">
      <c r="A45" s="193" t="s">
        <v>253</v>
      </c>
      <c r="B45" s="194" t="s">
        <v>254</v>
      </c>
      <c r="C45" s="195">
        <v>365710768</v>
      </c>
      <c r="D45" s="195">
        <v>337023305</v>
      </c>
      <c r="E45" s="217"/>
    </row>
    <row r="46" spans="1:10" ht="24.95" customHeight="1" x14ac:dyDescent="0.2">
      <c r="A46" s="202" t="s">
        <v>255</v>
      </c>
      <c r="B46" s="203" t="s">
        <v>256</v>
      </c>
      <c r="C46" s="204">
        <v>920854959</v>
      </c>
      <c r="D46" s="204">
        <v>873897935</v>
      </c>
    </row>
    <row r="49" spans="1:9" ht="15" x14ac:dyDescent="0.25">
      <c r="A49" s="184" t="s">
        <v>257</v>
      </c>
      <c r="F49" s="184" t="s">
        <v>258</v>
      </c>
    </row>
    <row r="50" spans="1:9" x14ac:dyDescent="0.2">
      <c r="A50" s="317" t="s">
        <v>177</v>
      </c>
      <c r="B50" s="292"/>
      <c r="C50" s="292"/>
      <c r="D50" s="292"/>
      <c r="F50" s="317" t="s">
        <v>177</v>
      </c>
      <c r="G50" s="292"/>
      <c r="H50" s="292"/>
      <c r="I50" s="292"/>
    </row>
    <row r="51" spans="1:9" ht="15" x14ac:dyDescent="0.2">
      <c r="A51" s="186" t="s">
        <v>178</v>
      </c>
      <c r="B51" s="186" t="s">
        <v>5</v>
      </c>
      <c r="C51" s="186" t="s">
        <v>179</v>
      </c>
      <c r="D51" s="186" t="s">
        <v>180</v>
      </c>
      <c r="F51" s="186" t="s">
        <v>178</v>
      </c>
      <c r="G51" s="186" t="s">
        <v>5</v>
      </c>
      <c r="H51" s="186" t="s">
        <v>179</v>
      </c>
      <c r="I51" s="186" t="s">
        <v>180</v>
      </c>
    </row>
    <row r="52" spans="1:9" ht="15" x14ac:dyDescent="0.2">
      <c r="A52" s="186"/>
      <c r="B52" s="186"/>
      <c r="C52" s="186"/>
      <c r="D52" s="186"/>
      <c r="F52" s="186"/>
      <c r="G52" s="186"/>
      <c r="H52" s="186"/>
      <c r="I52" s="186"/>
    </row>
    <row r="53" spans="1:9" ht="25.5" x14ac:dyDescent="0.2">
      <c r="A53" s="190" t="s">
        <v>181</v>
      </c>
      <c r="B53" s="191" t="s">
        <v>182</v>
      </c>
      <c r="C53" s="192">
        <v>29174698</v>
      </c>
      <c r="D53" s="192">
        <v>33109934</v>
      </c>
      <c r="F53" s="190" t="s">
        <v>181</v>
      </c>
      <c r="G53" s="191" t="s">
        <v>182</v>
      </c>
      <c r="H53" s="192">
        <v>389469436</v>
      </c>
      <c r="I53" s="192">
        <v>390749527</v>
      </c>
    </row>
    <row r="54" spans="1:9" ht="25.5" x14ac:dyDescent="0.2">
      <c r="A54" s="190" t="s">
        <v>183</v>
      </c>
      <c r="B54" s="191" t="s">
        <v>184</v>
      </c>
      <c r="C54" s="192">
        <v>4000293</v>
      </c>
      <c r="D54" s="192">
        <v>9323426</v>
      </c>
      <c r="F54" s="190" t="s">
        <v>183</v>
      </c>
      <c r="G54" s="191" t="s">
        <v>184</v>
      </c>
      <c r="H54" s="192">
        <v>8580645</v>
      </c>
      <c r="I54" s="192">
        <v>8594425</v>
      </c>
    </row>
    <row r="55" spans="1:9" x14ac:dyDescent="0.2">
      <c r="A55" s="196" t="s">
        <v>187</v>
      </c>
      <c r="B55" s="197" t="s">
        <v>188</v>
      </c>
      <c r="C55" s="198">
        <v>33174991</v>
      </c>
      <c r="D55" s="198">
        <v>42433360</v>
      </c>
      <c r="F55" s="196" t="s">
        <v>187</v>
      </c>
      <c r="G55" s="197" t="s">
        <v>188</v>
      </c>
      <c r="H55" s="198">
        <v>398050081</v>
      </c>
      <c r="I55" s="198">
        <v>399343952</v>
      </c>
    </row>
    <row r="56" spans="1:9" ht="38.25" x14ac:dyDescent="0.2">
      <c r="A56" s="196" t="s">
        <v>189</v>
      </c>
      <c r="B56" s="197" t="s">
        <v>190</v>
      </c>
      <c r="C56" s="198">
        <v>33174991</v>
      </c>
      <c r="D56" s="198">
        <v>42433360</v>
      </c>
      <c r="F56" s="190" t="s">
        <v>259</v>
      </c>
      <c r="G56" s="191" t="s">
        <v>260</v>
      </c>
      <c r="H56" s="192">
        <v>4483837</v>
      </c>
      <c r="I56" s="192">
        <v>7669060</v>
      </c>
    </row>
    <row r="57" spans="1:9" ht="25.5" x14ac:dyDescent="0.2">
      <c r="A57" s="196" t="s">
        <v>199</v>
      </c>
      <c r="B57" s="197" t="s">
        <v>200</v>
      </c>
      <c r="C57" s="198">
        <v>0</v>
      </c>
      <c r="D57" s="198">
        <v>8540</v>
      </c>
      <c r="F57" s="196" t="s">
        <v>191</v>
      </c>
      <c r="G57" s="197" t="s">
        <v>192</v>
      </c>
      <c r="H57" s="198">
        <v>4483837</v>
      </c>
      <c r="I57" s="198">
        <v>7669060</v>
      </c>
    </row>
    <row r="58" spans="1:9" ht="25.5" x14ac:dyDescent="0.2">
      <c r="A58" s="190" t="s">
        <v>193</v>
      </c>
      <c r="B58" s="191" t="s">
        <v>194</v>
      </c>
      <c r="C58" s="192">
        <v>2803037</v>
      </c>
      <c r="D58" s="192">
        <v>5610457</v>
      </c>
      <c r="F58" s="196" t="s">
        <v>195</v>
      </c>
      <c r="G58" s="197" t="s">
        <v>196</v>
      </c>
      <c r="H58" s="198">
        <v>4483837</v>
      </c>
      <c r="I58" s="198">
        <v>7669060</v>
      </c>
    </row>
    <row r="59" spans="1:9" ht="25.5" x14ac:dyDescent="0.2">
      <c r="A59" s="196" t="s">
        <v>201</v>
      </c>
      <c r="B59" s="197" t="s">
        <v>202</v>
      </c>
      <c r="C59" s="198">
        <v>2803037</v>
      </c>
      <c r="D59" s="198">
        <v>5610457</v>
      </c>
      <c r="F59" s="196" t="s">
        <v>199</v>
      </c>
      <c r="G59" s="197" t="s">
        <v>200</v>
      </c>
      <c r="H59" s="198">
        <v>2461996</v>
      </c>
      <c r="I59" s="198">
        <v>3570626</v>
      </c>
    </row>
    <row r="60" spans="1:9" x14ac:dyDescent="0.2">
      <c r="A60" s="196" t="s">
        <v>203</v>
      </c>
      <c r="B60" s="197" t="s">
        <v>204</v>
      </c>
      <c r="C60" s="198">
        <v>2803037</v>
      </c>
      <c r="D60" s="198">
        <v>5618997</v>
      </c>
      <c r="F60" s="190" t="s">
        <v>193</v>
      </c>
      <c r="G60" s="191" t="s">
        <v>194</v>
      </c>
      <c r="H60" s="192">
        <v>82672586</v>
      </c>
      <c r="I60" s="192">
        <v>52729008</v>
      </c>
    </row>
    <row r="61" spans="1:9" ht="25.5" x14ac:dyDescent="0.2">
      <c r="A61" s="196" t="s">
        <v>205</v>
      </c>
      <c r="B61" s="197" t="s">
        <v>206</v>
      </c>
      <c r="C61" s="198">
        <v>57230</v>
      </c>
      <c r="D61" s="198">
        <v>401315</v>
      </c>
      <c r="F61" s="196" t="s">
        <v>201</v>
      </c>
      <c r="G61" s="197" t="s">
        <v>202</v>
      </c>
      <c r="H61" s="198">
        <v>82672586</v>
      </c>
      <c r="I61" s="198">
        <v>52729008</v>
      </c>
    </row>
    <row r="62" spans="1:9" ht="25.5" x14ac:dyDescent="0.2">
      <c r="A62" s="196" t="s">
        <v>213</v>
      </c>
      <c r="B62" s="197" t="s">
        <v>214</v>
      </c>
      <c r="C62" s="198">
        <v>265866</v>
      </c>
      <c r="D62" s="198">
        <v>425614</v>
      </c>
      <c r="F62" s="196" t="s">
        <v>203</v>
      </c>
      <c r="G62" s="197" t="s">
        <v>204</v>
      </c>
      <c r="H62" s="198">
        <v>85134582</v>
      </c>
      <c r="I62" s="198">
        <v>56299634</v>
      </c>
    </row>
    <row r="63" spans="1:9" ht="25.5" x14ac:dyDescent="0.2">
      <c r="A63" s="196" t="s">
        <v>207</v>
      </c>
      <c r="B63" s="197" t="s">
        <v>208</v>
      </c>
      <c r="C63" s="198">
        <v>323096</v>
      </c>
      <c r="D63" s="198">
        <v>826929</v>
      </c>
      <c r="F63" s="196" t="s">
        <v>205</v>
      </c>
      <c r="G63" s="197" t="s">
        <v>206</v>
      </c>
      <c r="H63" s="198">
        <v>11107311</v>
      </c>
      <c r="I63" s="198">
        <v>10518320</v>
      </c>
    </row>
    <row r="64" spans="1:9" ht="25.5" x14ac:dyDescent="0.2">
      <c r="A64" s="196" t="s">
        <v>225</v>
      </c>
      <c r="B64" s="197" t="s">
        <v>226</v>
      </c>
      <c r="C64" s="198">
        <v>9145</v>
      </c>
      <c r="D64" s="198">
        <v>45558</v>
      </c>
      <c r="F64" s="196" t="s">
        <v>213</v>
      </c>
      <c r="G64" s="197" t="s">
        <v>214</v>
      </c>
      <c r="H64" s="198">
        <v>621564</v>
      </c>
      <c r="I64" s="198">
        <v>255055</v>
      </c>
    </row>
    <row r="65" spans="1:10" x14ac:dyDescent="0.2">
      <c r="A65" s="199" t="s">
        <v>227</v>
      </c>
      <c r="B65" s="200" t="s">
        <v>228</v>
      </c>
      <c r="C65" s="201">
        <v>36310269</v>
      </c>
      <c r="D65" s="201">
        <v>48924844</v>
      </c>
      <c r="F65" s="196" t="s">
        <v>207</v>
      </c>
      <c r="G65" s="197" t="s">
        <v>208</v>
      </c>
      <c r="H65" s="198">
        <v>11728875</v>
      </c>
      <c r="I65" s="198">
        <v>10773375</v>
      </c>
    </row>
    <row r="66" spans="1:10" ht="38.25" x14ac:dyDescent="0.2">
      <c r="A66" s="190" t="s">
        <v>229</v>
      </c>
      <c r="B66" s="191" t="s">
        <v>230</v>
      </c>
      <c r="C66" s="192">
        <v>41574995</v>
      </c>
      <c r="D66" s="192">
        <v>41574995</v>
      </c>
      <c r="F66" s="196" t="s">
        <v>211</v>
      </c>
      <c r="G66" s="197" t="s">
        <v>212</v>
      </c>
      <c r="H66" s="198">
        <v>1153005</v>
      </c>
      <c r="I66" s="198">
        <v>1141289</v>
      </c>
    </row>
    <row r="67" spans="1:10" ht="25.5" x14ac:dyDescent="0.2">
      <c r="A67" s="190" t="s">
        <v>233</v>
      </c>
      <c r="B67" s="191" t="s">
        <v>234</v>
      </c>
      <c r="C67" s="192">
        <v>2105723</v>
      </c>
      <c r="D67" s="192">
        <v>2105723</v>
      </c>
      <c r="F67" s="190" t="s">
        <v>215</v>
      </c>
      <c r="G67" s="191" t="s">
        <v>216</v>
      </c>
      <c r="H67" s="192">
        <v>-1120768</v>
      </c>
      <c r="I67" s="192">
        <v>-1307289</v>
      </c>
    </row>
    <row r="68" spans="1:10" ht="25.5" x14ac:dyDescent="0.2">
      <c r="A68" s="190" t="s">
        <v>235</v>
      </c>
      <c r="B68" s="191" t="s">
        <v>236</v>
      </c>
      <c r="C68" s="192">
        <v>-23674339</v>
      </c>
      <c r="D68" s="192">
        <v>-21715244</v>
      </c>
      <c r="F68" s="196" t="s">
        <v>217</v>
      </c>
      <c r="G68" s="197" t="s">
        <v>218</v>
      </c>
      <c r="H68" s="198">
        <v>-1120768</v>
      </c>
      <c r="I68" s="198">
        <v>-1307289</v>
      </c>
    </row>
    <row r="69" spans="1:10" ht="25.5" x14ac:dyDescent="0.2">
      <c r="A69" s="190" t="s">
        <v>237</v>
      </c>
      <c r="B69" s="191" t="s">
        <v>238</v>
      </c>
      <c r="C69" s="192">
        <v>1959095</v>
      </c>
      <c r="D69" s="192">
        <v>10107413</v>
      </c>
      <c r="E69" s="217"/>
      <c r="F69" s="196" t="s">
        <v>219</v>
      </c>
      <c r="G69" s="197" t="s">
        <v>220</v>
      </c>
      <c r="H69" s="198">
        <v>32237</v>
      </c>
      <c r="I69" s="198">
        <v>-166000</v>
      </c>
    </row>
    <row r="70" spans="1:10" ht="25.5" x14ac:dyDescent="0.2">
      <c r="A70" s="196" t="s">
        <v>239</v>
      </c>
      <c r="B70" s="197" t="s">
        <v>240</v>
      </c>
      <c r="C70" s="198">
        <v>21965474</v>
      </c>
      <c r="D70" s="198">
        <v>32072887</v>
      </c>
      <c r="F70" s="190" t="s">
        <v>223</v>
      </c>
      <c r="G70" s="191" t="s">
        <v>224</v>
      </c>
      <c r="H70" s="192">
        <v>605368</v>
      </c>
      <c r="I70" s="192">
        <v>613741</v>
      </c>
    </row>
    <row r="71" spans="1:10" ht="25.5" x14ac:dyDescent="0.2">
      <c r="A71" s="196" t="s">
        <v>241</v>
      </c>
      <c r="B71" s="197" t="s">
        <v>242</v>
      </c>
      <c r="C71" s="198">
        <v>0</v>
      </c>
      <c r="D71" s="198">
        <v>277565</v>
      </c>
      <c r="F71" s="196" t="s">
        <v>225</v>
      </c>
      <c r="G71" s="197" t="s">
        <v>226</v>
      </c>
      <c r="H71" s="198">
        <v>605368</v>
      </c>
      <c r="I71" s="198">
        <v>613741</v>
      </c>
    </row>
    <row r="72" spans="1:10" ht="25.5" x14ac:dyDescent="0.2">
      <c r="A72" s="196" t="s">
        <v>245</v>
      </c>
      <c r="B72" s="197" t="s">
        <v>246</v>
      </c>
      <c r="C72" s="198">
        <v>0</v>
      </c>
      <c r="D72" s="198">
        <v>8540</v>
      </c>
      <c r="F72" s="199" t="s">
        <v>227</v>
      </c>
      <c r="G72" s="200" t="s">
        <v>228</v>
      </c>
      <c r="H72" s="201">
        <v>500034980</v>
      </c>
      <c r="I72" s="201">
        <v>474533762</v>
      </c>
    </row>
    <row r="73" spans="1:10" x14ac:dyDescent="0.2">
      <c r="A73" s="196" t="s">
        <v>247</v>
      </c>
      <c r="B73" s="197" t="s">
        <v>248</v>
      </c>
      <c r="C73" s="198">
        <v>0</v>
      </c>
      <c r="D73" s="198">
        <v>286105</v>
      </c>
      <c r="F73" s="190" t="s">
        <v>229</v>
      </c>
      <c r="G73" s="191" t="s">
        <v>230</v>
      </c>
      <c r="H73" s="192">
        <v>545920165</v>
      </c>
      <c r="I73" s="192">
        <v>545920165</v>
      </c>
    </row>
    <row r="74" spans="1:10" ht="25.5" x14ac:dyDescent="0.2">
      <c r="A74" s="190" t="s">
        <v>249</v>
      </c>
      <c r="B74" s="191" t="s">
        <v>250</v>
      </c>
      <c r="C74" s="192">
        <v>14344795</v>
      </c>
      <c r="D74" s="192">
        <v>16565852</v>
      </c>
      <c r="F74" s="190" t="s">
        <v>233</v>
      </c>
      <c r="G74" s="191" t="s">
        <v>234</v>
      </c>
      <c r="H74" s="192">
        <v>1000000</v>
      </c>
      <c r="I74" s="192">
        <v>1000000</v>
      </c>
    </row>
    <row r="75" spans="1:10" ht="25.5" x14ac:dyDescent="0.2">
      <c r="A75" s="196" t="s">
        <v>253</v>
      </c>
      <c r="B75" s="197" t="s">
        <v>254</v>
      </c>
      <c r="C75" s="198">
        <v>14344795</v>
      </c>
      <c r="D75" s="198">
        <v>16565852</v>
      </c>
      <c r="F75" s="190" t="s">
        <v>235</v>
      </c>
      <c r="G75" s="191" t="s">
        <v>236</v>
      </c>
      <c r="H75" s="192">
        <v>-99779614</v>
      </c>
      <c r="I75" s="192">
        <v>-91303443</v>
      </c>
    </row>
    <row r="76" spans="1:10" x14ac:dyDescent="0.2">
      <c r="A76" s="199" t="s">
        <v>255</v>
      </c>
      <c r="B76" s="200" t="s">
        <v>256</v>
      </c>
      <c r="C76" s="201">
        <v>36310269</v>
      </c>
      <c r="D76" s="201">
        <v>48924844</v>
      </c>
      <c r="F76" s="190" t="s">
        <v>237</v>
      </c>
      <c r="G76" s="191" t="s">
        <v>238</v>
      </c>
      <c r="H76" s="192">
        <v>8476171</v>
      </c>
      <c r="I76" s="192">
        <v>-34420441</v>
      </c>
      <c r="J76" s="217"/>
    </row>
    <row r="77" spans="1:10" x14ac:dyDescent="0.2">
      <c r="F77" s="196" t="s">
        <v>239</v>
      </c>
      <c r="G77" s="197" t="s">
        <v>240</v>
      </c>
      <c r="H77" s="198">
        <v>455616722</v>
      </c>
      <c r="I77" s="198">
        <v>421196281</v>
      </c>
    </row>
    <row r="78" spans="1:10" ht="25.5" x14ac:dyDescent="0.2">
      <c r="F78" s="196" t="s">
        <v>241</v>
      </c>
      <c r="G78" s="197" t="s">
        <v>242</v>
      </c>
      <c r="H78" s="198">
        <v>0</v>
      </c>
      <c r="I78" s="198">
        <v>7048706</v>
      </c>
    </row>
    <row r="79" spans="1:10" ht="25.5" x14ac:dyDescent="0.2">
      <c r="F79" s="196" t="s">
        <v>245</v>
      </c>
      <c r="G79" s="197" t="s">
        <v>246</v>
      </c>
      <c r="H79" s="198">
        <v>2461996</v>
      </c>
      <c r="I79" s="198">
        <v>3593451</v>
      </c>
    </row>
    <row r="80" spans="1:10" x14ac:dyDescent="0.2">
      <c r="F80" s="196" t="s">
        <v>247</v>
      </c>
      <c r="G80" s="197" t="s">
        <v>248</v>
      </c>
      <c r="H80" s="198">
        <v>2461996</v>
      </c>
      <c r="I80" s="198">
        <v>10642157</v>
      </c>
    </row>
    <row r="81" spans="1:9" ht="32.25" customHeight="1" x14ac:dyDescent="0.2">
      <c r="A81" s="318" t="s">
        <v>261</v>
      </c>
      <c r="B81" s="318"/>
      <c r="F81" s="190" t="s">
        <v>249</v>
      </c>
      <c r="G81" s="191" t="s">
        <v>250</v>
      </c>
      <c r="H81" s="192">
        <v>41956262</v>
      </c>
      <c r="I81" s="192">
        <v>42695324</v>
      </c>
    </row>
    <row r="82" spans="1:9" ht="25.5" x14ac:dyDescent="0.2">
      <c r="F82" s="196" t="s">
        <v>253</v>
      </c>
      <c r="G82" s="197" t="s">
        <v>254</v>
      </c>
      <c r="H82" s="198">
        <v>41956262</v>
      </c>
      <c r="I82" s="198">
        <v>42695324</v>
      </c>
    </row>
    <row r="83" spans="1:9" x14ac:dyDescent="0.2">
      <c r="F83" s="199" t="s">
        <v>255</v>
      </c>
      <c r="G83" s="200" t="s">
        <v>256</v>
      </c>
      <c r="H83" s="201">
        <v>500034980</v>
      </c>
      <c r="I83" s="201">
        <v>474533762</v>
      </c>
    </row>
  </sheetData>
  <mergeCells count="9">
    <mergeCell ref="A50:D50"/>
    <mergeCell ref="F50:I50"/>
    <mergeCell ref="A81:B81"/>
    <mergeCell ref="B2:I2"/>
    <mergeCell ref="B3:I3"/>
    <mergeCell ref="B4:I4"/>
    <mergeCell ref="B5:I5"/>
    <mergeCell ref="A8:D8"/>
    <mergeCell ref="F8:I8"/>
  </mergeCells>
  <pageMargins left="0.7" right="0.7" top="0.75" bottom="0.75" header="0.3" footer="0.3"/>
  <pageSetup paperSize="8" scale="73" orientation="landscape" r:id="rId1"/>
  <rowBreaks count="1" manualBreakCount="1">
    <brk id="4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/>
  <dimension ref="A1:I61"/>
  <sheetViews>
    <sheetView view="pageBreakPreview" zoomScale="60" zoomScaleNormal="100" workbookViewId="0">
      <selection activeCell="A2" sqref="A2:H2"/>
    </sheetView>
  </sheetViews>
  <sheetFormatPr defaultColWidth="9" defaultRowHeight="14.25" x14ac:dyDescent="0.2"/>
  <cols>
    <col min="1" max="1" width="9" style="172"/>
    <col min="2" max="2" width="37.25" style="172" customWidth="1"/>
    <col min="3" max="3" width="18.875" style="172" customWidth="1"/>
    <col min="4" max="4" width="19" style="172" customWidth="1"/>
    <col min="5" max="6" width="9" style="172"/>
    <col min="7" max="7" width="37.25" style="172" customWidth="1"/>
    <col min="8" max="8" width="22.125" style="172" customWidth="1"/>
    <col min="9" max="9" width="17.375" style="172" customWidth="1"/>
    <col min="10" max="16384" width="9" style="172"/>
  </cols>
  <sheetData>
    <row r="1" spans="1:9" x14ac:dyDescent="0.2">
      <c r="H1" s="172" t="s">
        <v>592</v>
      </c>
    </row>
    <row r="2" spans="1:9" ht="15" x14ac:dyDescent="0.25">
      <c r="A2" s="289" t="s">
        <v>0</v>
      </c>
      <c r="B2" s="289"/>
      <c r="C2" s="289"/>
      <c r="D2" s="289"/>
      <c r="E2" s="289"/>
      <c r="F2" s="289"/>
      <c r="G2" s="289"/>
      <c r="H2" s="289"/>
    </row>
    <row r="3" spans="1:9" ht="15" x14ac:dyDescent="0.25">
      <c r="A3" s="289" t="s">
        <v>171</v>
      </c>
      <c r="B3" s="289"/>
      <c r="C3" s="289"/>
      <c r="D3" s="289"/>
      <c r="E3" s="289"/>
      <c r="F3" s="289"/>
      <c r="G3" s="289"/>
      <c r="H3" s="289"/>
    </row>
    <row r="4" spans="1:9" ht="15" x14ac:dyDescent="0.25">
      <c r="A4" s="289" t="s">
        <v>172</v>
      </c>
      <c r="B4" s="289"/>
      <c r="C4" s="289"/>
      <c r="D4" s="289"/>
      <c r="E4" s="289"/>
      <c r="F4" s="289"/>
      <c r="G4" s="289"/>
      <c r="H4" s="289"/>
    </row>
    <row r="5" spans="1:9" ht="15" x14ac:dyDescent="0.25">
      <c r="A5" s="289" t="s">
        <v>262</v>
      </c>
      <c r="B5" s="289"/>
      <c r="C5" s="289"/>
      <c r="D5" s="289"/>
      <c r="E5" s="289"/>
      <c r="F5" s="289"/>
      <c r="G5" s="289"/>
      <c r="H5" s="289"/>
    </row>
    <row r="6" spans="1:9" ht="15" x14ac:dyDescent="0.25">
      <c r="A6" s="184" t="s">
        <v>263</v>
      </c>
      <c r="F6" s="184" t="s">
        <v>264</v>
      </c>
    </row>
    <row r="7" spans="1:9" x14ac:dyDescent="0.2">
      <c r="A7" s="317" t="s">
        <v>265</v>
      </c>
      <c r="B7" s="292"/>
      <c r="C7" s="292"/>
      <c r="D7" s="292"/>
      <c r="F7" s="317" t="s">
        <v>266</v>
      </c>
      <c r="G7" s="292"/>
      <c r="H7" s="292"/>
      <c r="I7" s="292"/>
    </row>
    <row r="8" spans="1:9" ht="15" x14ac:dyDescent="0.2">
      <c r="A8" s="186" t="s">
        <v>178</v>
      </c>
      <c r="B8" s="186" t="s">
        <v>5</v>
      </c>
      <c r="C8" s="186" t="s">
        <v>179</v>
      </c>
      <c r="D8" s="186" t="s">
        <v>180</v>
      </c>
      <c r="F8" s="186" t="s">
        <v>178</v>
      </c>
      <c r="G8" s="186" t="s">
        <v>5</v>
      </c>
      <c r="H8" s="186" t="s">
        <v>179</v>
      </c>
      <c r="I8" s="186" t="s">
        <v>180</v>
      </c>
    </row>
    <row r="9" spans="1:9" ht="15" x14ac:dyDescent="0.2">
      <c r="A9" s="186"/>
      <c r="B9" s="186"/>
      <c r="C9" s="186"/>
      <c r="D9" s="186"/>
      <c r="F9" s="186"/>
      <c r="G9" s="186"/>
      <c r="H9" s="186"/>
      <c r="I9" s="186"/>
    </row>
    <row r="10" spans="1:9" ht="24.95" customHeight="1" x14ac:dyDescent="0.2">
      <c r="A10" s="190" t="s">
        <v>267</v>
      </c>
      <c r="B10" s="191" t="s">
        <v>268</v>
      </c>
      <c r="C10" s="205">
        <v>276671322</v>
      </c>
      <c r="D10" s="205">
        <v>287381374</v>
      </c>
      <c r="F10" s="190" t="s">
        <v>267</v>
      </c>
      <c r="G10" s="191" t="s">
        <v>268</v>
      </c>
      <c r="H10" s="192">
        <v>3142351</v>
      </c>
      <c r="I10" s="192">
        <v>9603003</v>
      </c>
    </row>
    <row r="11" spans="1:9" ht="24.95" customHeight="1" x14ac:dyDescent="0.2">
      <c r="A11" s="196" t="s">
        <v>269</v>
      </c>
      <c r="B11" s="197" t="s">
        <v>270</v>
      </c>
      <c r="C11" s="206">
        <v>276671322</v>
      </c>
      <c r="D11" s="206">
        <v>287381374</v>
      </c>
      <c r="F11" s="196" t="s">
        <v>269</v>
      </c>
      <c r="G11" s="197" t="s">
        <v>270</v>
      </c>
      <c r="H11" s="198">
        <v>3142351</v>
      </c>
      <c r="I11" s="198">
        <v>9603003</v>
      </c>
    </row>
    <row r="12" spans="1:9" ht="24.95" customHeight="1" x14ac:dyDescent="0.2">
      <c r="A12" s="190" t="s">
        <v>185</v>
      </c>
      <c r="B12" s="191" t="s">
        <v>271</v>
      </c>
      <c r="C12" s="205">
        <v>679268579</v>
      </c>
      <c r="D12" s="205">
        <v>742080811</v>
      </c>
      <c r="F12" s="190" t="s">
        <v>272</v>
      </c>
      <c r="G12" s="191" t="s">
        <v>273</v>
      </c>
      <c r="H12" s="192">
        <v>679153413</v>
      </c>
      <c r="I12" s="192">
        <v>780029732</v>
      </c>
    </row>
    <row r="13" spans="1:9" ht="24.95" customHeight="1" x14ac:dyDescent="0.2">
      <c r="A13" s="190" t="s">
        <v>272</v>
      </c>
      <c r="B13" s="191" t="s">
        <v>273</v>
      </c>
      <c r="C13" s="205">
        <v>689963579</v>
      </c>
      <c r="D13" s="205">
        <v>792451655</v>
      </c>
      <c r="F13" s="190" t="s">
        <v>187</v>
      </c>
      <c r="G13" s="191" t="s">
        <v>274</v>
      </c>
      <c r="H13" s="192">
        <v>26793057</v>
      </c>
      <c r="I13" s="192">
        <v>59621105</v>
      </c>
    </row>
    <row r="14" spans="1:9" ht="24.95" customHeight="1" x14ac:dyDescent="0.2">
      <c r="A14" s="190" t="s">
        <v>187</v>
      </c>
      <c r="B14" s="191" t="s">
        <v>274</v>
      </c>
      <c r="C14" s="205">
        <v>26793057</v>
      </c>
      <c r="D14" s="205">
        <v>59621105</v>
      </c>
      <c r="F14" s="190" t="s">
        <v>275</v>
      </c>
      <c r="G14" s="191" t="s">
        <v>276</v>
      </c>
      <c r="H14" s="192">
        <v>80107</v>
      </c>
      <c r="I14" s="192">
        <v>14681</v>
      </c>
    </row>
    <row r="15" spans="1:9" ht="24.95" customHeight="1" x14ac:dyDescent="0.2">
      <c r="A15" s="190" t="s">
        <v>275</v>
      </c>
      <c r="B15" s="191" t="s">
        <v>276</v>
      </c>
      <c r="C15" s="205">
        <v>2971513</v>
      </c>
      <c r="D15" s="205">
        <v>3543495</v>
      </c>
      <c r="F15" s="196" t="s">
        <v>277</v>
      </c>
      <c r="G15" s="197" t="s">
        <v>278</v>
      </c>
      <c r="H15" s="198">
        <v>706026577</v>
      </c>
      <c r="I15" s="198">
        <v>839665518</v>
      </c>
    </row>
    <row r="16" spans="1:9" ht="24.95" customHeight="1" x14ac:dyDescent="0.2">
      <c r="A16" s="196" t="s">
        <v>277</v>
      </c>
      <c r="B16" s="197" t="s">
        <v>278</v>
      </c>
      <c r="C16" s="206">
        <v>1398996728</v>
      </c>
      <c r="D16" s="206">
        <v>1597697066</v>
      </c>
      <c r="F16" s="190" t="s">
        <v>279</v>
      </c>
      <c r="G16" s="191" t="s">
        <v>280</v>
      </c>
      <c r="H16" s="192">
        <v>0</v>
      </c>
      <c r="I16" s="192">
        <v>4999</v>
      </c>
    </row>
    <row r="17" spans="1:9" ht="24.95" customHeight="1" x14ac:dyDescent="0.2">
      <c r="A17" s="190" t="s">
        <v>279</v>
      </c>
      <c r="B17" s="191" t="s">
        <v>280</v>
      </c>
      <c r="C17" s="205">
        <v>66175341</v>
      </c>
      <c r="D17" s="205">
        <v>68925075</v>
      </c>
      <c r="F17" s="190" t="s">
        <v>281</v>
      </c>
      <c r="G17" s="191" t="s">
        <v>282</v>
      </c>
      <c r="H17" s="192">
        <v>4643328</v>
      </c>
      <c r="I17" s="192">
        <v>2888384</v>
      </c>
    </row>
    <row r="18" spans="1:9" ht="24.95" customHeight="1" x14ac:dyDescent="0.2">
      <c r="A18" s="190" t="s">
        <v>281</v>
      </c>
      <c r="B18" s="191" t="s">
        <v>282</v>
      </c>
      <c r="C18" s="205">
        <v>141846107</v>
      </c>
      <c r="D18" s="205">
        <v>165531880</v>
      </c>
      <c r="F18" s="190" t="s">
        <v>283</v>
      </c>
      <c r="G18" s="191" t="s">
        <v>284</v>
      </c>
      <c r="H18" s="192">
        <v>671763</v>
      </c>
      <c r="I18" s="192">
        <v>989137</v>
      </c>
    </row>
    <row r="19" spans="1:9" ht="24.95" customHeight="1" x14ac:dyDescent="0.2">
      <c r="A19" s="190" t="s">
        <v>283</v>
      </c>
      <c r="B19" s="191" t="s">
        <v>284</v>
      </c>
      <c r="C19" s="205">
        <v>2158089</v>
      </c>
      <c r="D19" s="205">
        <v>3039976</v>
      </c>
      <c r="F19" s="196" t="s">
        <v>285</v>
      </c>
      <c r="G19" s="197" t="s">
        <v>286</v>
      </c>
      <c r="H19" s="198">
        <v>5315091</v>
      </c>
      <c r="I19" s="198">
        <v>3882520</v>
      </c>
    </row>
    <row r="20" spans="1:9" ht="24.95" customHeight="1" x14ac:dyDescent="0.2">
      <c r="A20" s="196" t="s">
        <v>285</v>
      </c>
      <c r="B20" s="197" t="s">
        <v>286</v>
      </c>
      <c r="C20" s="206">
        <v>210179537</v>
      </c>
      <c r="D20" s="206">
        <v>237496931</v>
      </c>
      <c r="F20" s="190" t="s">
        <v>287</v>
      </c>
      <c r="G20" s="191" t="s">
        <v>288</v>
      </c>
      <c r="H20" s="192">
        <v>3118048</v>
      </c>
      <c r="I20" s="192">
        <v>751319</v>
      </c>
    </row>
    <row r="21" spans="1:9" ht="24.95" customHeight="1" x14ac:dyDescent="0.2">
      <c r="A21" s="190" t="s">
        <v>289</v>
      </c>
      <c r="B21" s="191" t="s">
        <v>290</v>
      </c>
      <c r="C21" s="205">
        <v>517836367</v>
      </c>
      <c r="D21" s="205">
        <v>572490565</v>
      </c>
      <c r="F21" s="190" t="s">
        <v>291</v>
      </c>
      <c r="G21" s="191" t="s">
        <v>292</v>
      </c>
      <c r="H21" s="192">
        <v>617448</v>
      </c>
      <c r="I21" s="192">
        <v>222670</v>
      </c>
    </row>
    <row r="22" spans="1:9" ht="24.95" customHeight="1" x14ac:dyDescent="0.2">
      <c r="A22" s="190" t="s">
        <v>287</v>
      </c>
      <c r="B22" s="191" t="s">
        <v>288</v>
      </c>
      <c r="C22" s="205">
        <v>60507705</v>
      </c>
      <c r="D22" s="205">
        <v>55617217</v>
      </c>
      <c r="F22" s="196" t="s">
        <v>293</v>
      </c>
      <c r="G22" s="197" t="s">
        <v>294</v>
      </c>
      <c r="H22" s="198">
        <v>3735496</v>
      </c>
      <c r="I22" s="198">
        <v>973989</v>
      </c>
    </row>
    <row r="23" spans="1:9" ht="24.95" customHeight="1" x14ac:dyDescent="0.2">
      <c r="A23" s="190" t="s">
        <v>291</v>
      </c>
      <c r="B23" s="191" t="s">
        <v>292</v>
      </c>
      <c r="C23" s="205">
        <v>117871494</v>
      </c>
      <c r="D23" s="205">
        <v>119348621</v>
      </c>
      <c r="F23" s="196" t="s">
        <v>295</v>
      </c>
      <c r="G23" s="197" t="s">
        <v>296</v>
      </c>
      <c r="H23" s="198">
        <v>212888</v>
      </c>
      <c r="I23" s="198">
        <v>15651203</v>
      </c>
    </row>
    <row r="24" spans="1:9" ht="24.95" customHeight="1" x14ac:dyDescent="0.2">
      <c r="A24" s="196" t="s">
        <v>293</v>
      </c>
      <c r="B24" s="197" t="s">
        <v>294</v>
      </c>
      <c r="C24" s="206">
        <v>696215566</v>
      </c>
      <c r="D24" s="206">
        <v>747456403</v>
      </c>
      <c r="F24" s="196" t="s">
        <v>297</v>
      </c>
      <c r="G24" s="197" t="s">
        <v>298</v>
      </c>
      <c r="H24" s="198">
        <v>718658046</v>
      </c>
      <c r="I24" s="198">
        <v>804084594</v>
      </c>
    </row>
    <row r="25" spans="1:9" ht="24.95" customHeight="1" x14ac:dyDescent="0.2">
      <c r="A25" s="196" t="s">
        <v>295</v>
      </c>
      <c r="B25" s="197" t="s">
        <v>296</v>
      </c>
      <c r="C25" s="206">
        <v>18163713</v>
      </c>
      <c r="D25" s="206">
        <v>40196888</v>
      </c>
      <c r="F25" s="196" t="s">
        <v>299</v>
      </c>
      <c r="G25" s="197" t="s">
        <v>300</v>
      </c>
      <c r="H25" s="198">
        <v>-18752593</v>
      </c>
      <c r="I25" s="198">
        <v>24676215</v>
      </c>
    </row>
    <row r="26" spans="1:9" ht="24.95" customHeight="1" x14ac:dyDescent="0.2">
      <c r="A26" s="196" t="s">
        <v>297</v>
      </c>
      <c r="B26" s="197" t="s">
        <v>298</v>
      </c>
      <c r="C26" s="206">
        <v>759426561</v>
      </c>
      <c r="D26" s="206">
        <v>859565031</v>
      </c>
      <c r="F26" s="190" t="s">
        <v>189</v>
      </c>
      <c r="G26" s="191" t="s">
        <v>301</v>
      </c>
      <c r="H26" s="192">
        <v>154</v>
      </c>
      <c r="I26" s="192">
        <v>68</v>
      </c>
    </row>
    <row r="27" spans="1:9" ht="24.95" customHeight="1" x14ac:dyDescent="0.2">
      <c r="A27" s="196" t="s">
        <v>299</v>
      </c>
      <c r="B27" s="197" t="s">
        <v>300</v>
      </c>
      <c r="C27" s="206">
        <v>-8317327</v>
      </c>
      <c r="D27" s="206">
        <v>363187</v>
      </c>
      <c r="F27" s="196" t="s">
        <v>302</v>
      </c>
      <c r="G27" s="197" t="s">
        <v>303</v>
      </c>
      <c r="H27" s="198">
        <v>154</v>
      </c>
      <c r="I27" s="198">
        <v>68</v>
      </c>
    </row>
    <row r="28" spans="1:9" ht="24.95" customHeight="1" x14ac:dyDescent="0.2">
      <c r="A28" s="190" t="s">
        <v>189</v>
      </c>
      <c r="B28" s="191" t="s">
        <v>301</v>
      </c>
      <c r="C28" s="205">
        <v>154</v>
      </c>
      <c r="D28" s="205">
        <v>68</v>
      </c>
      <c r="F28" s="196" t="s">
        <v>195</v>
      </c>
      <c r="G28" s="197" t="s">
        <v>304</v>
      </c>
      <c r="H28" s="198">
        <v>154</v>
      </c>
      <c r="I28" s="198">
        <v>68</v>
      </c>
    </row>
    <row r="29" spans="1:9" ht="24.95" customHeight="1" x14ac:dyDescent="0.2">
      <c r="A29" s="196" t="s">
        <v>302</v>
      </c>
      <c r="B29" s="197" t="s">
        <v>303</v>
      </c>
      <c r="C29" s="206">
        <v>154</v>
      </c>
      <c r="D29" s="206">
        <v>68</v>
      </c>
      <c r="F29" s="199" t="s">
        <v>305</v>
      </c>
      <c r="G29" s="200" t="s">
        <v>306</v>
      </c>
      <c r="H29" s="201">
        <v>-18752439</v>
      </c>
      <c r="I29" s="201">
        <v>24676283</v>
      </c>
    </row>
    <row r="30" spans="1:9" ht="24.95" customHeight="1" x14ac:dyDescent="0.2">
      <c r="A30" s="196" t="s">
        <v>195</v>
      </c>
      <c r="B30" s="197" t="s">
        <v>304</v>
      </c>
      <c r="C30" s="206">
        <v>154</v>
      </c>
      <c r="D30" s="206">
        <v>68</v>
      </c>
    </row>
    <row r="31" spans="1:9" ht="24.95" customHeight="1" x14ac:dyDescent="0.2">
      <c r="A31" s="199" t="s">
        <v>305</v>
      </c>
      <c r="B31" s="200" t="s">
        <v>306</v>
      </c>
      <c r="C31" s="207">
        <v>-8317173</v>
      </c>
      <c r="D31" s="207">
        <v>363255</v>
      </c>
    </row>
    <row r="32" spans="1:9" ht="24.95" customHeight="1" x14ac:dyDescent="0.2"/>
    <row r="33" spans="1:9" ht="24.95" customHeight="1" x14ac:dyDescent="0.25">
      <c r="A33" s="184" t="s">
        <v>257</v>
      </c>
      <c r="F33" s="184" t="s">
        <v>258</v>
      </c>
    </row>
    <row r="34" spans="1:9" ht="24.95" customHeight="1" x14ac:dyDescent="0.2">
      <c r="A34" s="317" t="s">
        <v>266</v>
      </c>
      <c r="B34" s="292"/>
      <c r="C34" s="292"/>
      <c r="D34" s="292"/>
      <c r="F34" s="317" t="s">
        <v>307</v>
      </c>
      <c r="G34" s="292"/>
      <c r="H34" s="292"/>
      <c r="I34" s="292"/>
    </row>
    <row r="35" spans="1:9" ht="24.95" customHeight="1" x14ac:dyDescent="0.2">
      <c r="A35" s="186" t="s">
        <v>178</v>
      </c>
      <c r="B35" s="186" t="s">
        <v>5</v>
      </c>
      <c r="C35" s="186" t="s">
        <v>179</v>
      </c>
      <c r="D35" s="186" t="s">
        <v>180</v>
      </c>
      <c r="F35" s="186" t="s">
        <v>178</v>
      </c>
      <c r="G35" s="186" t="s">
        <v>5</v>
      </c>
      <c r="H35" s="186" t="s">
        <v>179</v>
      </c>
      <c r="I35" s="186" t="s">
        <v>180</v>
      </c>
    </row>
    <row r="36" spans="1:9" ht="24.95" customHeight="1" x14ac:dyDescent="0.2">
      <c r="A36" s="186"/>
      <c r="B36" s="186"/>
      <c r="C36" s="186"/>
      <c r="D36" s="186"/>
      <c r="F36" s="186"/>
      <c r="G36" s="186"/>
      <c r="H36" s="186"/>
      <c r="I36" s="186"/>
    </row>
    <row r="37" spans="1:9" ht="24.95" customHeight="1" x14ac:dyDescent="0.2">
      <c r="A37" s="190" t="s">
        <v>267</v>
      </c>
      <c r="B37" s="191" t="s">
        <v>268</v>
      </c>
      <c r="C37" s="192">
        <v>1290475</v>
      </c>
      <c r="D37" s="192">
        <v>1954785</v>
      </c>
      <c r="F37" s="190" t="s">
        <v>267</v>
      </c>
      <c r="G37" s="191" t="s">
        <v>268</v>
      </c>
      <c r="H37" s="192">
        <v>272238496</v>
      </c>
      <c r="I37" s="192">
        <v>275823586</v>
      </c>
    </row>
    <row r="38" spans="1:9" ht="24.95" customHeight="1" x14ac:dyDescent="0.2">
      <c r="A38" s="196" t="s">
        <v>269</v>
      </c>
      <c r="B38" s="197" t="s">
        <v>270</v>
      </c>
      <c r="C38" s="198">
        <v>1290475</v>
      </c>
      <c r="D38" s="198">
        <v>1954785</v>
      </c>
      <c r="F38" s="196" t="s">
        <v>269</v>
      </c>
      <c r="G38" s="197" t="s">
        <v>270</v>
      </c>
      <c r="H38" s="198">
        <v>272238496</v>
      </c>
      <c r="I38" s="198">
        <v>275823586</v>
      </c>
    </row>
    <row r="39" spans="1:9" ht="24.95" customHeight="1" x14ac:dyDescent="0.2">
      <c r="A39" s="190" t="s">
        <v>185</v>
      </c>
      <c r="B39" s="191" t="s">
        <v>271</v>
      </c>
      <c r="C39" s="192">
        <v>213305406</v>
      </c>
      <c r="D39" s="192">
        <v>256224982</v>
      </c>
      <c r="F39" s="190" t="s">
        <v>185</v>
      </c>
      <c r="G39" s="191" t="s">
        <v>271</v>
      </c>
      <c r="H39" s="192">
        <v>465963173</v>
      </c>
      <c r="I39" s="192">
        <v>485855829</v>
      </c>
    </row>
    <row r="40" spans="1:9" ht="24.95" customHeight="1" x14ac:dyDescent="0.2">
      <c r="A40" s="190" t="s">
        <v>272</v>
      </c>
      <c r="B40" s="191" t="s">
        <v>273</v>
      </c>
      <c r="C40" s="192">
        <v>5496905</v>
      </c>
      <c r="D40" s="192">
        <v>5854430</v>
      </c>
      <c r="F40" s="190" t="s">
        <v>272</v>
      </c>
      <c r="G40" s="191" t="s">
        <v>273</v>
      </c>
      <c r="H40" s="192">
        <v>5313261</v>
      </c>
      <c r="I40" s="192">
        <v>6567493</v>
      </c>
    </row>
    <row r="41" spans="1:9" ht="24.95" customHeight="1" x14ac:dyDescent="0.2">
      <c r="A41" s="190" t="s">
        <v>275</v>
      </c>
      <c r="B41" s="191" t="s">
        <v>276</v>
      </c>
      <c r="C41" s="192">
        <v>1358844</v>
      </c>
      <c r="D41" s="192">
        <v>1604176</v>
      </c>
      <c r="F41" s="190" t="s">
        <v>275</v>
      </c>
      <c r="G41" s="191" t="s">
        <v>276</v>
      </c>
      <c r="H41" s="192">
        <v>1532562</v>
      </c>
      <c r="I41" s="192">
        <v>1924638</v>
      </c>
    </row>
    <row r="42" spans="1:9" ht="24.95" customHeight="1" x14ac:dyDescent="0.2">
      <c r="A42" s="196" t="s">
        <v>277</v>
      </c>
      <c r="B42" s="197" t="s">
        <v>278</v>
      </c>
      <c r="C42" s="198">
        <v>220161155</v>
      </c>
      <c r="D42" s="198">
        <v>263683588</v>
      </c>
      <c r="F42" s="196" t="s">
        <v>277</v>
      </c>
      <c r="G42" s="197" t="s">
        <v>278</v>
      </c>
      <c r="H42" s="198">
        <v>472808996</v>
      </c>
      <c r="I42" s="198">
        <v>494347960</v>
      </c>
    </row>
    <row r="43" spans="1:9" ht="24.95" customHeight="1" x14ac:dyDescent="0.2">
      <c r="A43" s="190" t="s">
        <v>279</v>
      </c>
      <c r="B43" s="191" t="s">
        <v>280</v>
      </c>
      <c r="C43" s="192">
        <v>3707923</v>
      </c>
      <c r="D43" s="192">
        <v>4699069</v>
      </c>
      <c r="F43" s="190" t="s">
        <v>279</v>
      </c>
      <c r="G43" s="191" t="s">
        <v>280</v>
      </c>
      <c r="H43" s="192">
        <v>62467418</v>
      </c>
      <c r="I43" s="192">
        <v>64221007</v>
      </c>
    </row>
    <row r="44" spans="1:9" ht="24.95" customHeight="1" x14ac:dyDescent="0.2">
      <c r="A44" s="190" t="s">
        <v>281</v>
      </c>
      <c r="B44" s="191" t="s">
        <v>282</v>
      </c>
      <c r="C44" s="192">
        <v>17439285</v>
      </c>
      <c r="D44" s="192">
        <v>21700080</v>
      </c>
      <c r="F44" s="190" t="s">
        <v>281</v>
      </c>
      <c r="G44" s="191" t="s">
        <v>282</v>
      </c>
      <c r="H44" s="192">
        <v>119763494</v>
      </c>
      <c r="I44" s="192">
        <v>140943416</v>
      </c>
    </row>
    <row r="45" spans="1:9" ht="24.95" customHeight="1" x14ac:dyDescent="0.2">
      <c r="A45" s="190" t="s">
        <v>283</v>
      </c>
      <c r="B45" s="191" t="s">
        <v>284</v>
      </c>
      <c r="C45" s="192">
        <v>0</v>
      </c>
      <c r="D45" s="192">
        <v>10000</v>
      </c>
      <c r="F45" s="190" t="s">
        <v>283</v>
      </c>
      <c r="G45" s="191" t="s">
        <v>284</v>
      </c>
      <c r="H45" s="192">
        <v>1486326</v>
      </c>
      <c r="I45" s="192">
        <v>2040839</v>
      </c>
    </row>
    <row r="46" spans="1:9" ht="24.95" customHeight="1" x14ac:dyDescent="0.2">
      <c r="A46" s="196" t="s">
        <v>285</v>
      </c>
      <c r="B46" s="197" t="s">
        <v>286</v>
      </c>
      <c r="C46" s="198">
        <v>21147208</v>
      </c>
      <c r="D46" s="198">
        <v>26409149</v>
      </c>
      <c r="F46" s="196" t="s">
        <v>285</v>
      </c>
      <c r="G46" s="197" t="s">
        <v>286</v>
      </c>
      <c r="H46" s="198">
        <v>183717238</v>
      </c>
      <c r="I46" s="198">
        <v>207205262</v>
      </c>
    </row>
    <row r="47" spans="1:9" ht="24.95" customHeight="1" x14ac:dyDescent="0.2">
      <c r="A47" s="190" t="s">
        <v>289</v>
      </c>
      <c r="B47" s="191" t="s">
        <v>290</v>
      </c>
      <c r="C47" s="192">
        <v>141786423</v>
      </c>
      <c r="D47" s="192">
        <v>168923474</v>
      </c>
      <c r="F47" s="190" t="s">
        <v>289</v>
      </c>
      <c r="G47" s="191" t="s">
        <v>290</v>
      </c>
      <c r="H47" s="192">
        <v>376049944</v>
      </c>
      <c r="I47" s="192">
        <v>403567091</v>
      </c>
    </row>
    <row r="48" spans="1:9" ht="24.95" customHeight="1" x14ac:dyDescent="0.2">
      <c r="A48" s="190" t="s">
        <v>287</v>
      </c>
      <c r="B48" s="191" t="s">
        <v>288</v>
      </c>
      <c r="C48" s="192">
        <v>15609477</v>
      </c>
      <c r="D48" s="192">
        <v>13304409</v>
      </c>
      <c r="F48" s="190" t="s">
        <v>287</v>
      </c>
      <c r="G48" s="191" t="s">
        <v>288</v>
      </c>
      <c r="H48" s="192">
        <v>41780180</v>
      </c>
      <c r="I48" s="192">
        <v>41561489</v>
      </c>
    </row>
    <row r="49" spans="1:9" ht="24.95" customHeight="1" x14ac:dyDescent="0.2">
      <c r="A49" s="190" t="s">
        <v>291</v>
      </c>
      <c r="B49" s="191" t="s">
        <v>292</v>
      </c>
      <c r="C49" s="192">
        <v>31973449</v>
      </c>
      <c r="D49" s="192">
        <v>35419503</v>
      </c>
      <c r="F49" s="190" t="s">
        <v>291</v>
      </c>
      <c r="G49" s="191" t="s">
        <v>292</v>
      </c>
      <c r="H49" s="192">
        <v>85280597</v>
      </c>
      <c r="I49" s="192">
        <v>83706448</v>
      </c>
    </row>
    <row r="50" spans="1:9" ht="24.95" customHeight="1" x14ac:dyDescent="0.2">
      <c r="A50" s="196" t="s">
        <v>293</v>
      </c>
      <c r="B50" s="197" t="s">
        <v>294</v>
      </c>
      <c r="C50" s="198">
        <v>189369349</v>
      </c>
      <c r="D50" s="198">
        <v>217647386</v>
      </c>
      <c r="F50" s="196" t="s">
        <v>293</v>
      </c>
      <c r="G50" s="197" t="s">
        <v>294</v>
      </c>
      <c r="H50" s="198">
        <v>503110721</v>
      </c>
      <c r="I50" s="198">
        <v>528835028</v>
      </c>
    </row>
    <row r="51" spans="1:9" ht="24.95" customHeight="1" x14ac:dyDescent="0.2">
      <c r="A51" s="196" t="s">
        <v>295</v>
      </c>
      <c r="B51" s="197" t="s">
        <v>296</v>
      </c>
      <c r="C51" s="198">
        <v>3441981</v>
      </c>
      <c r="D51" s="198">
        <v>3797809</v>
      </c>
      <c r="F51" s="196" t="s">
        <v>295</v>
      </c>
      <c r="G51" s="197" t="s">
        <v>296</v>
      </c>
      <c r="H51" s="198">
        <v>14508844</v>
      </c>
      <c r="I51" s="198">
        <v>20747876</v>
      </c>
    </row>
    <row r="52" spans="1:9" ht="24.95" customHeight="1" x14ac:dyDescent="0.2">
      <c r="A52" s="196" t="s">
        <v>297</v>
      </c>
      <c r="B52" s="197" t="s">
        <v>298</v>
      </c>
      <c r="C52" s="198">
        <v>5533997</v>
      </c>
      <c r="D52" s="198">
        <v>7676616</v>
      </c>
      <c r="F52" s="196" t="s">
        <v>297</v>
      </c>
      <c r="G52" s="197" t="s">
        <v>298</v>
      </c>
      <c r="H52" s="198">
        <v>35234518</v>
      </c>
      <c r="I52" s="198">
        <v>47803821</v>
      </c>
    </row>
    <row r="53" spans="1:9" ht="24.95" customHeight="1" x14ac:dyDescent="0.2">
      <c r="A53" s="196" t="s">
        <v>299</v>
      </c>
      <c r="B53" s="197" t="s">
        <v>300</v>
      </c>
      <c r="C53" s="198">
        <v>1959095</v>
      </c>
      <c r="D53" s="198">
        <v>10107413</v>
      </c>
      <c r="F53" s="196" t="s">
        <v>299</v>
      </c>
      <c r="G53" s="197" t="s">
        <v>300</v>
      </c>
      <c r="H53" s="198">
        <v>8476171</v>
      </c>
      <c r="I53" s="198">
        <v>-34420441</v>
      </c>
    </row>
    <row r="54" spans="1:9" ht="24.95" customHeight="1" x14ac:dyDescent="0.2">
      <c r="A54" s="199" t="s">
        <v>305</v>
      </c>
      <c r="B54" s="200" t="s">
        <v>306</v>
      </c>
      <c r="C54" s="201">
        <v>1959095</v>
      </c>
      <c r="D54" s="201">
        <v>10107413</v>
      </c>
      <c r="F54" s="199" t="s">
        <v>305</v>
      </c>
      <c r="G54" s="200" t="s">
        <v>306</v>
      </c>
      <c r="H54" s="201">
        <v>8476171</v>
      </c>
      <c r="I54" s="201">
        <v>-34420441</v>
      </c>
    </row>
    <row r="55" spans="1:9" ht="24.95" customHeight="1" x14ac:dyDescent="0.2"/>
    <row r="56" spans="1:9" ht="24.95" customHeight="1" x14ac:dyDescent="0.2">
      <c r="B56" s="208" t="s">
        <v>261</v>
      </c>
    </row>
    <row r="57" spans="1:9" ht="24.95" customHeight="1" x14ac:dyDescent="0.2"/>
    <row r="58" spans="1:9" ht="24.95" customHeight="1" x14ac:dyDescent="0.2"/>
    <row r="59" spans="1:9" ht="24.95" customHeight="1" x14ac:dyDescent="0.2"/>
    <row r="60" spans="1:9" ht="24.95" customHeight="1" x14ac:dyDescent="0.2"/>
    <row r="61" spans="1:9" ht="24.95" customHeight="1" x14ac:dyDescent="0.2"/>
  </sheetData>
  <mergeCells count="8">
    <mergeCell ref="A34:D34"/>
    <mergeCell ref="F34:I34"/>
    <mergeCell ref="A2:H2"/>
    <mergeCell ref="A3:H3"/>
    <mergeCell ref="A4:H4"/>
    <mergeCell ref="A5:H5"/>
    <mergeCell ref="A7:D7"/>
    <mergeCell ref="F7:I7"/>
  </mergeCells>
  <pageMargins left="0.7" right="0.7" top="0.75" bottom="0.75" header="0.3" footer="0.3"/>
  <pageSetup paperSize="8" scale="99" orientation="landscape" r:id="rId1"/>
  <rowBreaks count="1" manualBreakCount="1">
    <brk id="3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/>
  <dimension ref="A1:I35"/>
  <sheetViews>
    <sheetView workbookViewId="0">
      <selection activeCell="G1" sqref="G1"/>
    </sheetView>
  </sheetViews>
  <sheetFormatPr defaultColWidth="9" defaultRowHeight="14.25" x14ac:dyDescent="0.2"/>
  <cols>
    <col min="1" max="1" width="9" style="172"/>
    <col min="2" max="2" width="32" style="172" customWidth="1"/>
    <col min="3" max="3" width="19.75" style="172" customWidth="1"/>
    <col min="4" max="5" width="9" style="172"/>
    <col min="6" max="6" width="36.875" style="172" customWidth="1"/>
    <col min="7" max="7" width="17.5" style="172" customWidth="1"/>
    <col min="8" max="16384" width="9" style="172"/>
  </cols>
  <sheetData>
    <row r="1" spans="1:9" x14ac:dyDescent="0.2">
      <c r="G1" s="172" t="s">
        <v>593</v>
      </c>
    </row>
    <row r="2" spans="1:9" ht="15" x14ac:dyDescent="0.25">
      <c r="B2" s="289" t="s">
        <v>0</v>
      </c>
      <c r="C2" s="289"/>
      <c r="D2" s="289"/>
      <c r="E2" s="289"/>
      <c r="F2" s="289"/>
      <c r="G2" s="289"/>
      <c r="H2" s="289"/>
      <c r="I2" s="289"/>
    </row>
    <row r="3" spans="1:9" ht="15" x14ac:dyDescent="0.25">
      <c r="B3" s="289" t="s">
        <v>171</v>
      </c>
      <c r="C3" s="289"/>
      <c r="D3" s="289"/>
      <c r="E3" s="289"/>
      <c r="F3" s="289"/>
      <c r="G3" s="289"/>
      <c r="H3" s="289"/>
      <c r="I3" s="289"/>
    </row>
    <row r="4" spans="1:9" ht="15" x14ac:dyDescent="0.25">
      <c r="B4" s="289" t="s">
        <v>172</v>
      </c>
      <c r="C4" s="289"/>
      <c r="D4" s="289"/>
      <c r="E4" s="289"/>
      <c r="F4" s="289"/>
      <c r="G4" s="289"/>
      <c r="H4" s="289"/>
      <c r="I4" s="289"/>
    </row>
    <row r="5" spans="1:9" ht="15" x14ac:dyDescent="0.25">
      <c r="B5" s="289" t="s">
        <v>308</v>
      </c>
      <c r="C5" s="289"/>
      <c r="D5" s="289"/>
      <c r="E5" s="289"/>
      <c r="F5" s="289"/>
      <c r="G5" s="289"/>
      <c r="H5" s="289"/>
      <c r="I5" s="289"/>
    </row>
    <row r="7" spans="1:9" ht="15" x14ac:dyDescent="0.25">
      <c r="A7" s="184" t="s">
        <v>263</v>
      </c>
      <c r="E7" s="184" t="s">
        <v>264</v>
      </c>
    </row>
    <row r="8" spans="1:9" x14ac:dyDescent="0.2">
      <c r="A8" s="317" t="s">
        <v>309</v>
      </c>
      <c r="B8" s="292"/>
      <c r="C8" s="292"/>
      <c r="E8" s="317" t="s">
        <v>309</v>
      </c>
      <c r="F8" s="292"/>
      <c r="G8" s="292"/>
    </row>
    <row r="9" spans="1:9" ht="15" x14ac:dyDescent="0.2">
      <c r="A9" s="186" t="s">
        <v>178</v>
      </c>
      <c r="B9" s="186" t="s">
        <v>5</v>
      </c>
      <c r="C9" s="186" t="s">
        <v>310</v>
      </c>
      <c r="E9" s="186" t="s">
        <v>178</v>
      </c>
      <c r="F9" s="186" t="s">
        <v>5</v>
      </c>
      <c r="G9" s="186" t="s">
        <v>310</v>
      </c>
    </row>
    <row r="10" spans="1:9" ht="15" x14ac:dyDescent="0.2">
      <c r="A10" s="186"/>
      <c r="B10" s="186"/>
      <c r="C10" s="186"/>
      <c r="E10" s="186"/>
      <c r="F10" s="186"/>
      <c r="G10" s="186"/>
    </row>
    <row r="11" spans="1:9" ht="24.95" customHeight="1" x14ac:dyDescent="0.2">
      <c r="A11" s="190" t="s">
        <v>311</v>
      </c>
      <c r="B11" s="191" t="s">
        <v>312</v>
      </c>
      <c r="C11" s="192">
        <v>1122844742</v>
      </c>
      <c r="E11" s="190" t="s">
        <v>311</v>
      </c>
      <c r="F11" s="191" t="s">
        <v>312</v>
      </c>
      <c r="G11" s="192">
        <v>818022980</v>
      </c>
    </row>
    <row r="12" spans="1:9" ht="24.95" customHeight="1" x14ac:dyDescent="0.2">
      <c r="A12" s="190" t="s">
        <v>267</v>
      </c>
      <c r="B12" s="191" t="s">
        <v>313</v>
      </c>
      <c r="C12" s="192">
        <v>1350183662</v>
      </c>
      <c r="E12" s="190" t="s">
        <v>267</v>
      </c>
      <c r="F12" s="191" t="s">
        <v>313</v>
      </c>
      <c r="G12" s="192">
        <v>275915345</v>
      </c>
    </row>
    <row r="13" spans="1:9" ht="24.95" customHeight="1" x14ac:dyDescent="0.2">
      <c r="A13" s="196" t="s">
        <v>314</v>
      </c>
      <c r="B13" s="197" t="s">
        <v>315</v>
      </c>
      <c r="C13" s="198">
        <v>-227338920</v>
      </c>
      <c r="E13" s="196" t="s">
        <v>314</v>
      </c>
      <c r="F13" s="197" t="s">
        <v>315</v>
      </c>
      <c r="G13" s="198">
        <v>542107635</v>
      </c>
    </row>
    <row r="14" spans="1:9" ht="24.95" customHeight="1" x14ac:dyDescent="0.2">
      <c r="A14" s="190" t="s">
        <v>269</v>
      </c>
      <c r="B14" s="191" t="s">
        <v>316</v>
      </c>
      <c r="C14" s="192">
        <v>1074187412</v>
      </c>
      <c r="E14" s="190" t="s">
        <v>269</v>
      </c>
      <c r="F14" s="191" t="s">
        <v>316</v>
      </c>
      <c r="G14" s="192">
        <v>247340833</v>
      </c>
    </row>
    <row r="15" spans="1:9" ht="24.95" customHeight="1" x14ac:dyDescent="0.2">
      <c r="A15" s="190" t="s">
        <v>181</v>
      </c>
      <c r="B15" s="191" t="s">
        <v>317</v>
      </c>
      <c r="C15" s="192">
        <v>742080811</v>
      </c>
      <c r="E15" s="190" t="s">
        <v>181</v>
      </c>
      <c r="F15" s="191" t="s">
        <v>317</v>
      </c>
      <c r="G15" s="192">
        <v>742080811</v>
      </c>
    </row>
    <row r="16" spans="1:9" ht="24.95" customHeight="1" x14ac:dyDescent="0.2">
      <c r="A16" s="196" t="s">
        <v>183</v>
      </c>
      <c r="B16" s="197" t="s">
        <v>318</v>
      </c>
      <c r="C16" s="198">
        <v>332106601</v>
      </c>
      <c r="E16" s="196" t="s">
        <v>183</v>
      </c>
      <c r="F16" s="197" t="s">
        <v>318</v>
      </c>
      <c r="G16" s="198">
        <v>-494739978</v>
      </c>
    </row>
    <row r="17" spans="1:7" ht="24.95" customHeight="1" x14ac:dyDescent="0.2">
      <c r="A17" s="196" t="s">
        <v>319</v>
      </c>
      <c r="B17" s="197" t="s">
        <v>320</v>
      </c>
      <c r="C17" s="198">
        <v>104767681</v>
      </c>
      <c r="E17" s="196" t="s">
        <v>319</v>
      </c>
      <c r="F17" s="197" t="s">
        <v>320</v>
      </c>
      <c r="G17" s="198">
        <v>47367657</v>
      </c>
    </row>
    <row r="18" spans="1:7" ht="24.95" customHeight="1" x14ac:dyDescent="0.2">
      <c r="A18" s="196" t="s">
        <v>321</v>
      </c>
      <c r="B18" s="197" t="s">
        <v>322</v>
      </c>
      <c r="C18" s="198">
        <v>104767681</v>
      </c>
      <c r="E18" s="196" t="s">
        <v>321</v>
      </c>
      <c r="F18" s="197" t="s">
        <v>322</v>
      </c>
      <c r="G18" s="198">
        <v>47367657</v>
      </c>
    </row>
    <row r="19" spans="1:7" ht="24.95" customHeight="1" x14ac:dyDescent="0.2">
      <c r="A19" s="199" t="s">
        <v>285</v>
      </c>
      <c r="B19" s="200" t="s">
        <v>323</v>
      </c>
      <c r="C19" s="201">
        <v>104767681</v>
      </c>
      <c r="E19" s="199" t="s">
        <v>285</v>
      </c>
      <c r="F19" s="200" t="s">
        <v>323</v>
      </c>
      <c r="G19" s="201">
        <v>47367657</v>
      </c>
    </row>
    <row r="21" spans="1:7" ht="15" x14ac:dyDescent="0.25">
      <c r="A21" s="184" t="s">
        <v>257</v>
      </c>
      <c r="E21" s="184" t="s">
        <v>258</v>
      </c>
    </row>
    <row r="22" spans="1:7" x14ac:dyDescent="0.2">
      <c r="A22" s="317" t="s">
        <v>309</v>
      </c>
      <c r="B22" s="292"/>
      <c r="C22" s="292"/>
      <c r="E22" s="317" t="s">
        <v>309</v>
      </c>
      <c r="F22" s="292"/>
      <c r="G22" s="292"/>
    </row>
    <row r="23" spans="1:7" ht="15" x14ac:dyDescent="0.2">
      <c r="A23" s="186" t="s">
        <v>178</v>
      </c>
      <c r="B23" s="186" t="s">
        <v>5</v>
      </c>
      <c r="C23" s="186" t="s">
        <v>310</v>
      </c>
      <c r="E23" s="186" t="s">
        <v>178</v>
      </c>
      <c r="F23" s="186" t="s">
        <v>5</v>
      </c>
      <c r="G23" s="186" t="s">
        <v>310</v>
      </c>
    </row>
    <row r="24" spans="1:7" ht="15" x14ac:dyDescent="0.2">
      <c r="A24" s="186"/>
      <c r="B24" s="186"/>
      <c r="C24" s="186"/>
      <c r="E24" s="186"/>
      <c r="F24" s="186"/>
      <c r="G24" s="186"/>
    </row>
    <row r="25" spans="1:7" ht="25.5" x14ac:dyDescent="0.2">
      <c r="A25" s="190" t="s">
        <v>311</v>
      </c>
      <c r="B25" s="191" t="s">
        <v>312</v>
      </c>
      <c r="C25" s="192">
        <v>9044674</v>
      </c>
      <c r="E25" s="190" t="s">
        <v>311</v>
      </c>
      <c r="F25" s="191" t="s">
        <v>312</v>
      </c>
      <c r="G25" s="209">
        <v>295777088</v>
      </c>
    </row>
    <row r="26" spans="1:7" ht="25.5" x14ac:dyDescent="0.2">
      <c r="A26" s="190" t="s">
        <v>267</v>
      </c>
      <c r="B26" s="191" t="s">
        <v>313</v>
      </c>
      <c r="C26" s="192">
        <v>262302488</v>
      </c>
      <c r="E26" s="190" t="s">
        <v>267</v>
      </c>
      <c r="F26" s="191" t="s">
        <v>313</v>
      </c>
      <c r="G26" s="209">
        <v>811965829</v>
      </c>
    </row>
    <row r="27" spans="1:7" ht="25.5" x14ac:dyDescent="0.2">
      <c r="A27" s="196" t="s">
        <v>314</v>
      </c>
      <c r="B27" s="197" t="s">
        <v>315</v>
      </c>
      <c r="C27" s="198">
        <v>-253257814</v>
      </c>
      <c r="E27" s="196" t="s">
        <v>314</v>
      </c>
      <c r="F27" s="197" t="s">
        <v>315</v>
      </c>
      <c r="G27" s="210">
        <v>-516188741</v>
      </c>
    </row>
    <row r="28" spans="1:7" ht="25.5" x14ac:dyDescent="0.2">
      <c r="A28" s="190" t="s">
        <v>269</v>
      </c>
      <c r="B28" s="191" t="s">
        <v>316</v>
      </c>
      <c r="C28" s="192">
        <v>259294466</v>
      </c>
      <c r="E28" s="190" t="s">
        <v>269</v>
      </c>
      <c r="F28" s="191" t="s">
        <v>316</v>
      </c>
      <c r="G28" s="209">
        <v>567552113</v>
      </c>
    </row>
    <row r="29" spans="1:7" ht="25.5" x14ac:dyDescent="0.2">
      <c r="A29" s="196" t="s">
        <v>183</v>
      </c>
      <c r="B29" s="197" t="s">
        <v>318</v>
      </c>
      <c r="C29" s="198">
        <v>259294466</v>
      </c>
      <c r="E29" s="196" t="s">
        <v>183</v>
      </c>
      <c r="F29" s="197" t="s">
        <v>318</v>
      </c>
      <c r="G29" s="210">
        <v>567552113</v>
      </c>
    </row>
    <row r="30" spans="1:7" ht="25.5" x14ac:dyDescent="0.2">
      <c r="A30" s="196" t="s">
        <v>319</v>
      </c>
      <c r="B30" s="197" t="s">
        <v>320</v>
      </c>
      <c r="C30" s="198">
        <v>6036652</v>
      </c>
      <c r="E30" s="196" t="s">
        <v>319</v>
      </c>
      <c r="F30" s="197" t="s">
        <v>320</v>
      </c>
      <c r="G30" s="210">
        <v>51363372</v>
      </c>
    </row>
    <row r="31" spans="1:7" x14ac:dyDescent="0.2">
      <c r="A31" s="196" t="s">
        <v>321</v>
      </c>
      <c r="B31" s="197" t="s">
        <v>322</v>
      </c>
      <c r="C31" s="198">
        <v>6036652</v>
      </c>
      <c r="E31" s="196" t="s">
        <v>321</v>
      </c>
      <c r="F31" s="197" t="s">
        <v>322</v>
      </c>
      <c r="G31" s="210">
        <v>51363372</v>
      </c>
    </row>
    <row r="32" spans="1:7" ht="25.5" x14ac:dyDescent="0.2">
      <c r="A32" s="199" t="s">
        <v>285</v>
      </c>
      <c r="B32" s="200" t="s">
        <v>323</v>
      </c>
      <c r="C32" s="201">
        <v>6036652</v>
      </c>
      <c r="E32" s="199" t="s">
        <v>285</v>
      </c>
      <c r="F32" s="200" t="s">
        <v>323</v>
      </c>
      <c r="G32" s="211">
        <v>51363372</v>
      </c>
    </row>
    <row r="35" spans="2:2" x14ac:dyDescent="0.2">
      <c r="B35" s="208" t="s">
        <v>261</v>
      </c>
    </row>
  </sheetData>
  <mergeCells count="8">
    <mergeCell ref="A22:C22"/>
    <mergeCell ref="E22:G22"/>
    <mergeCell ref="B2:I2"/>
    <mergeCell ref="B3:I3"/>
    <mergeCell ref="B4:I4"/>
    <mergeCell ref="B5:I5"/>
    <mergeCell ref="A8:C8"/>
    <mergeCell ref="E8:G8"/>
  </mergeCells>
  <pageMargins left="0.7" right="0.7" top="0.75" bottom="0.75" header="0.3" footer="0.3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/>
  <dimension ref="A1:S166"/>
  <sheetViews>
    <sheetView tabSelected="1" view="pageBreakPreview" zoomScale="60" zoomScaleNormal="100" workbookViewId="0">
      <selection activeCell="H1" sqref="H1"/>
    </sheetView>
  </sheetViews>
  <sheetFormatPr defaultColWidth="9" defaultRowHeight="14.25" x14ac:dyDescent="0.2"/>
  <cols>
    <col min="1" max="1" width="9" style="172"/>
    <col min="2" max="2" width="28.875" style="172" customWidth="1"/>
    <col min="3" max="8" width="15.625" style="172" customWidth="1"/>
    <col min="9" max="15" width="13.25" style="172" bestFit="1" customWidth="1"/>
    <col min="16" max="16" width="12.25" style="172" bestFit="1" customWidth="1"/>
    <col min="17" max="17" width="13.25" style="172" bestFit="1" customWidth="1"/>
    <col min="18" max="18" width="14.375" style="172" customWidth="1"/>
    <col min="19" max="19" width="13.25" style="172" bestFit="1" customWidth="1"/>
    <col min="20" max="16384" width="9" style="172"/>
  </cols>
  <sheetData>
    <row r="1" spans="1:9" x14ac:dyDescent="0.2">
      <c r="H1" s="172" t="s">
        <v>633</v>
      </c>
    </row>
    <row r="2" spans="1:9" ht="15" x14ac:dyDescent="0.25">
      <c r="B2" s="289" t="s">
        <v>0</v>
      </c>
      <c r="C2" s="289"/>
      <c r="D2" s="289"/>
      <c r="E2" s="289"/>
      <c r="F2" s="289"/>
      <c r="G2" s="289"/>
      <c r="H2" s="289"/>
      <c r="I2" s="289"/>
    </row>
    <row r="3" spans="1:9" ht="15" x14ac:dyDescent="0.25">
      <c r="B3" s="289" t="s">
        <v>171</v>
      </c>
      <c r="C3" s="289"/>
      <c r="D3" s="289"/>
      <c r="E3" s="289"/>
      <c r="F3" s="289"/>
      <c r="G3" s="289"/>
      <c r="H3" s="289"/>
      <c r="I3" s="289"/>
    </row>
    <row r="4" spans="1:9" ht="15" x14ac:dyDescent="0.25">
      <c r="B4" s="289" t="s">
        <v>172</v>
      </c>
      <c r="C4" s="289"/>
      <c r="D4" s="289"/>
      <c r="E4" s="289"/>
      <c r="F4" s="289"/>
      <c r="G4" s="289"/>
      <c r="H4" s="289"/>
      <c r="I4" s="289"/>
    </row>
    <row r="5" spans="1:9" ht="15" x14ac:dyDescent="0.25">
      <c r="B5" s="289" t="s">
        <v>324</v>
      </c>
      <c r="C5" s="289"/>
      <c r="D5" s="289"/>
      <c r="E5" s="289"/>
      <c r="F5" s="289"/>
      <c r="G5" s="289"/>
      <c r="H5" s="289"/>
      <c r="I5" s="289"/>
    </row>
    <row r="7" spans="1:9" ht="15" x14ac:dyDescent="0.25">
      <c r="A7" s="184" t="s">
        <v>0</v>
      </c>
    </row>
    <row r="8" spans="1:9" x14ac:dyDescent="0.2">
      <c r="A8" s="317" t="s">
        <v>325</v>
      </c>
      <c r="B8" s="292"/>
      <c r="C8" s="292"/>
      <c r="D8" s="292"/>
      <c r="E8" s="292"/>
      <c r="F8" s="292"/>
      <c r="G8" s="292"/>
      <c r="H8" s="292"/>
    </row>
    <row r="9" spans="1:9" ht="133.5" customHeight="1" x14ac:dyDescent="0.2">
      <c r="A9" s="186" t="s">
        <v>178</v>
      </c>
      <c r="B9" s="186" t="s">
        <v>5</v>
      </c>
      <c r="C9" s="186" t="s">
        <v>49</v>
      </c>
      <c r="D9" s="186" t="s">
        <v>326</v>
      </c>
      <c r="E9" s="186" t="s">
        <v>327</v>
      </c>
      <c r="F9" s="186" t="s">
        <v>328</v>
      </c>
      <c r="G9" s="186" t="s">
        <v>329</v>
      </c>
      <c r="H9" s="186" t="s">
        <v>330</v>
      </c>
    </row>
    <row r="10" spans="1:9" ht="25.5" x14ac:dyDescent="0.2">
      <c r="A10" s="190" t="s">
        <v>289</v>
      </c>
      <c r="B10" s="191" t="s">
        <v>331</v>
      </c>
      <c r="C10" s="192">
        <v>925636</v>
      </c>
      <c r="D10" s="192">
        <v>423748</v>
      </c>
      <c r="E10" s="192">
        <v>0</v>
      </c>
      <c r="F10" s="192">
        <v>261888</v>
      </c>
      <c r="G10" s="192">
        <v>0</v>
      </c>
      <c r="H10" s="192">
        <v>240000</v>
      </c>
    </row>
    <row r="11" spans="1:9" ht="25.5" x14ac:dyDescent="0.2">
      <c r="A11" s="190" t="s">
        <v>287</v>
      </c>
      <c r="B11" s="191" t="s">
        <v>332</v>
      </c>
      <c r="C11" s="192">
        <v>925636</v>
      </c>
      <c r="D11" s="192">
        <v>423748</v>
      </c>
      <c r="E11" s="192">
        <v>0</v>
      </c>
      <c r="F11" s="192">
        <v>261888</v>
      </c>
      <c r="G11" s="192">
        <v>0</v>
      </c>
      <c r="H11" s="192">
        <v>240000</v>
      </c>
    </row>
    <row r="12" spans="1:9" x14ac:dyDescent="0.2">
      <c r="A12" s="196" t="s">
        <v>291</v>
      </c>
      <c r="B12" s="197" t="s">
        <v>333</v>
      </c>
      <c r="C12" s="198">
        <v>925636</v>
      </c>
      <c r="D12" s="198">
        <v>423748</v>
      </c>
      <c r="E12" s="198">
        <v>0</v>
      </c>
      <c r="F12" s="198">
        <v>261888</v>
      </c>
      <c r="G12" s="198">
        <v>0</v>
      </c>
      <c r="H12" s="198">
        <v>240000</v>
      </c>
    </row>
    <row r="13" spans="1:9" ht="38.25" x14ac:dyDescent="0.2">
      <c r="A13" s="196" t="s">
        <v>293</v>
      </c>
      <c r="B13" s="197" t="s">
        <v>334</v>
      </c>
      <c r="C13" s="198">
        <v>256628</v>
      </c>
      <c r="D13" s="198">
        <v>168548</v>
      </c>
      <c r="E13" s="198">
        <v>0</v>
      </c>
      <c r="F13" s="198">
        <v>45960</v>
      </c>
      <c r="G13" s="198">
        <v>0</v>
      </c>
      <c r="H13" s="198">
        <v>42120</v>
      </c>
    </row>
    <row r="14" spans="1:9" ht="25.5" x14ac:dyDescent="0.2">
      <c r="A14" s="190" t="s">
        <v>295</v>
      </c>
      <c r="B14" s="191" t="s">
        <v>335</v>
      </c>
      <c r="C14" s="192">
        <v>145424</v>
      </c>
      <c r="D14" s="192">
        <v>57344</v>
      </c>
      <c r="E14" s="192">
        <v>0</v>
      </c>
      <c r="F14" s="192">
        <v>45960</v>
      </c>
      <c r="G14" s="192">
        <v>0</v>
      </c>
      <c r="H14" s="192">
        <v>42120</v>
      </c>
    </row>
    <row r="15" spans="1:9" ht="25.5" x14ac:dyDescent="0.2">
      <c r="A15" s="190" t="s">
        <v>299</v>
      </c>
      <c r="B15" s="191" t="s">
        <v>336</v>
      </c>
      <c r="C15" s="192">
        <v>45305</v>
      </c>
      <c r="D15" s="192">
        <v>45305</v>
      </c>
      <c r="E15" s="192">
        <v>0</v>
      </c>
      <c r="F15" s="192">
        <v>0</v>
      </c>
      <c r="G15" s="192">
        <v>0</v>
      </c>
      <c r="H15" s="192">
        <v>0</v>
      </c>
    </row>
    <row r="16" spans="1:9" ht="25.5" x14ac:dyDescent="0.2">
      <c r="A16" s="190" t="s">
        <v>337</v>
      </c>
      <c r="B16" s="191" t="s">
        <v>338</v>
      </c>
      <c r="C16" s="192">
        <v>65899</v>
      </c>
      <c r="D16" s="192">
        <v>65899</v>
      </c>
      <c r="E16" s="192">
        <v>0</v>
      </c>
      <c r="F16" s="192">
        <v>0</v>
      </c>
      <c r="G16" s="192">
        <v>0</v>
      </c>
      <c r="H16" s="192">
        <v>0</v>
      </c>
    </row>
    <row r="17" spans="1:8" ht="25.5" x14ac:dyDescent="0.2">
      <c r="A17" s="190" t="s">
        <v>259</v>
      </c>
      <c r="B17" s="191" t="s">
        <v>339</v>
      </c>
      <c r="C17" s="192">
        <v>4999</v>
      </c>
      <c r="D17" s="192">
        <v>4999</v>
      </c>
      <c r="E17" s="192">
        <v>0</v>
      </c>
      <c r="F17" s="192">
        <v>0</v>
      </c>
      <c r="G17" s="192">
        <v>0</v>
      </c>
      <c r="H17" s="192">
        <v>0</v>
      </c>
    </row>
    <row r="18" spans="1:8" x14ac:dyDescent="0.2">
      <c r="A18" s="190" t="s">
        <v>340</v>
      </c>
      <c r="B18" s="191" t="s">
        <v>341</v>
      </c>
      <c r="C18" s="192">
        <v>4999</v>
      </c>
      <c r="D18" s="192">
        <v>4999</v>
      </c>
      <c r="E18" s="192">
        <v>0</v>
      </c>
      <c r="F18" s="192">
        <v>0</v>
      </c>
      <c r="G18" s="192">
        <v>0</v>
      </c>
      <c r="H18" s="192">
        <v>0</v>
      </c>
    </row>
    <row r="19" spans="1:8" ht="25.5" x14ac:dyDescent="0.2">
      <c r="A19" s="190" t="s">
        <v>302</v>
      </c>
      <c r="B19" s="191" t="s">
        <v>342</v>
      </c>
      <c r="C19" s="192">
        <v>3300</v>
      </c>
      <c r="D19" s="192">
        <v>3300</v>
      </c>
      <c r="E19" s="192">
        <v>0</v>
      </c>
      <c r="F19" s="192">
        <v>0</v>
      </c>
      <c r="G19" s="192">
        <v>0</v>
      </c>
      <c r="H19" s="192">
        <v>0</v>
      </c>
    </row>
    <row r="20" spans="1:8" ht="25.5" x14ac:dyDescent="0.2">
      <c r="A20" s="190" t="s">
        <v>191</v>
      </c>
      <c r="B20" s="191" t="s">
        <v>343</v>
      </c>
      <c r="C20" s="192">
        <v>3300</v>
      </c>
      <c r="D20" s="192">
        <v>3300</v>
      </c>
      <c r="E20" s="192">
        <v>0</v>
      </c>
      <c r="F20" s="192">
        <v>0</v>
      </c>
      <c r="G20" s="192">
        <v>0</v>
      </c>
      <c r="H20" s="192">
        <v>0</v>
      </c>
    </row>
    <row r="21" spans="1:8" ht="25.5" x14ac:dyDescent="0.2">
      <c r="A21" s="190" t="s">
        <v>344</v>
      </c>
      <c r="B21" s="191" t="s">
        <v>345</v>
      </c>
      <c r="C21" s="192">
        <v>1048216</v>
      </c>
      <c r="D21" s="192">
        <v>1048216</v>
      </c>
      <c r="E21" s="192">
        <v>0</v>
      </c>
      <c r="F21" s="192">
        <v>0</v>
      </c>
      <c r="G21" s="192">
        <v>0</v>
      </c>
      <c r="H21" s="192">
        <v>0</v>
      </c>
    </row>
    <row r="22" spans="1:8" x14ac:dyDescent="0.2">
      <c r="A22" s="190" t="s">
        <v>195</v>
      </c>
      <c r="B22" s="191" t="s">
        <v>346</v>
      </c>
      <c r="C22" s="192">
        <v>2870355</v>
      </c>
      <c r="D22" s="192">
        <v>2476555</v>
      </c>
      <c r="E22" s="192">
        <v>0</v>
      </c>
      <c r="F22" s="192">
        <v>297000</v>
      </c>
      <c r="G22" s="192">
        <v>0</v>
      </c>
      <c r="H22" s="192">
        <v>96800</v>
      </c>
    </row>
    <row r="23" spans="1:8" x14ac:dyDescent="0.2">
      <c r="A23" s="190" t="s">
        <v>305</v>
      </c>
      <c r="B23" s="191" t="s">
        <v>347</v>
      </c>
      <c r="C23" s="192">
        <v>2792</v>
      </c>
      <c r="D23" s="192">
        <v>2792</v>
      </c>
      <c r="E23" s="192">
        <v>0</v>
      </c>
      <c r="F23" s="192">
        <v>0</v>
      </c>
      <c r="G23" s="192">
        <v>0</v>
      </c>
      <c r="H23" s="192">
        <v>0</v>
      </c>
    </row>
    <row r="24" spans="1:8" ht="25.5" x14ac:dyDescent="0.2">
      <c r="A24" s="190" t="s">
        <v>348</v>
      </c>
      <c r="B24" s="191" t="s">
        <v>349</v>
      </c>
      <c r="C24" s="192">
        <v>3918571</v>
      </c>
      <c r="D24" s="192">
        <v>3524771</v>
      </c>
      <c r="E24" s="192">
        <v>0</v>
      </c>
      <c r="F24" s="192">
        <v>297000</v>
      </c>
      <c r="G24" s="192">
        <v>0</v>
      </c>
      <c r="H24" s="192">
        <v>96800</v>
      </c>
    </row>
    <row r="25" spans="1:8" ht="38.25" x14ac:dyDescent="0.2">
      <c r="A25" s="190" t="s">
        <v>350</v>
      </c>
      <c r="B25" s="191" t="s">
        <v>351</v>
      </c>
      <c r="C25" s="192">
        <v>408044</v>
      </c>
      <c r="D25" s="192">
        <v>302997</v>
      </c>
      <c r="E25" s="192">
        <v>0</v>
      </c>
      <c r="F25" s="192">
        <v>88290</v>
      </c>
      <c r="G25" s="192">
        <v>0</v>
      </c>
      <c r="H25" s="192">
        <v>16757</v>
      </c>
    </row>
    <row r="26" spans="1:8" ht="25.5" x14ac:dyDescent="0.2">
      <c r="A26" s="190" t="s">
        <v>199</v>
      </c>
      <c r="B26" s="191" t="s">
        <v>352</v>
      </c>
      <c r="C26" s="192">
        <v>48970000</v>
      </c>
      <c r="D26" s="192">
        <v>0</v>
      </c>
      <c r="E26" s="192">
        <v>0</v>
      </c>
      <c r="F26" s="192">
        <v>32666000</v>
      </c>
      <c r="G26" s="192">
        <v>0</v>
      </c>
      <c r="H26" s="192">
        <v>16304000</v>
      </c>
    </row>
    <row r="27" spans="1:8" x14ac:dyDescent="0.2">
      <c r="A27" s="190" t="s">
        <v>353</v>
      </c>
      <c r="B27" s="191" t="s">
        <v>354</v>
      </c>
      <c r="C27" s="192">
        <v>526837</v>
      </c>
      <c r="D27" s="192">
        <v>112974</v>
      </c>
      <c r="E27" s="192">
        <v>0</v>
      </c>
      <c r="F27" s="192">
        <v>265200</v>
      </c>
      <c r="G27" s="192">
        <v>0</v>
      </c>
      <c r="H27" s="192">
        <v>148663</v>
      </c>
    </row>
    <row r="28" spans="1:8" ht="25.5" x14ac:dyDescent="0.2">
      <c r="A28" s="190" t="s">
        <v>355</v>
      </c>
      <c r="B28" s="191" t="s">
        <v>356</v>
      </c>
      <c r="C28" s="192">
        <v>49904881</v>
      </c>
      <c r="D28" s="192">
        <v>415971</v>
      </c>
      <c r="E28" s="192">
        <v>0</v>
      </c>
      <c r="F28" s="192">
        <v>33019490</v>
      </c>
      <c r="G28" s="192">
        <v>0</v>
      </c>
      <c r="H28" s="192">
        <v>16469420</v>
      </c>
    </row>
    <row r="29" spans="1:8" ht="25.5" x14ac:dyDescent="0.2">
      <c r="A29" s="196" t="s">
        <v>357</v>
      </c>
      <c r="B29" s="197" t="s">
        <v>358</v>
      </c>
      <c r="C29" s="198">
        <v>53831751</v>
      </c>
      <c r="D29" s="198">
        <v>3949041</v>
      </c>
      <c r="E29" s="198">
        <v>0</v>
      </c>
      <c r="F29" s="198">
        <v>33316490</v>
      </c>
      <c r="G29" s="198">
        <v>0</v>
      </c>
      <c r="H29" s="198">
        <v>16566220</v>
      </c>
    </row>
    <row r="30" spans="1:8" ht="38.25" x14ac:dyDescent="0.2">
      <c r="A30" s="190" t="s">
        <v>359</v>
      </c>
      <c r="B30" s="191" t="s">
        <v>360</v>
      </c>
      <c r="C30" s="192">
        <v>11479821</v>
      </c>
      <c r="D30" s="192">
        <v>0</v>
      </c>
      <c r="E30" s="192">
        <v>11479821</v>
      </c>
      <c r="F30" s="192">
        <v>0</v>
      </c>
      <c r="G30" s="192">
        <v>0</v>
      </c>
      <c r="H30" s="192">
        <v>0</v>
      </c>
    </row>
    <row r="31" spans="1:8" ht="25.5" x14ac:dyDescent="0.2">
      <c r="A31" s="190" t="s">
        <v>361</v>
      </c>
      <c r="B31" s="191" t="s">
        <v>362</v>
      </c>
      <c r="C31" s="192">
        <v>11479821</v>
      </c>
      <c r="D31" s="192">
        <v>0</v>
      </c>
      <c r="E31" s="192">
        <v>11479821</v>
      </c>
      <c r="F31" s="192">
        <v>0</v>
      </c>
      <c r="G31" s="192">
        <v>0</v>
      </c>
      <c r="H31" s="192">
        <v>0</v>
      </c>
    </row>
    <row r="32" spans="1:8" ht="38.25" x14ac:dyDescent="0.2">
      <c r="A32" s="190" t="s">
        <v>229</v>
      </c>
      <c r="B32" s="191" t="s">
        <v>363</v>
      </c>
      <c r="C32" s="192">
        <v>850000</v>
      </c>
      <c r="D32" s="192">
        <v>0</v>
      </c>
      <c r="E32" s="192">
        <v>0</v>
      </c>
      <c r="F32" s="192">
        <v>0</v>
      </c>
      <c r="G32" s="192">
        <v>850000</v>
      </c>
      <c r="H32" s="192">
        <v>0</v>
      </c>
    </row>
    <row r="33" spans="1:8" x14ac:dyDescent="0.2">
      <c r="A33" s="190" t="s">
        <v>235</v>
      </c>
      <c r="B33" s="191" t="s">
        <v>364</v>
      </c>
      <c r="C33" s="192">
        <v>850000</v>
      </c>
      <c r="D33" s="192">
        <v>0</v>
      </c>
      <c r="E33" s="192">
        <v>0</v>
      </c>
      <c r="F33" s="192">
        <v>0</v>
      </c>
      <c r="G33" s="192">
        <v>850000</v>
      </c>
      <c r="H33" s="192">
        <v>0</v>
      </c>
    </row>
    <row r="34" spans="1:8" ht="38.25" x14ac:dyDescent="0.2">
      <c r="A34" s="196" t="s">
        <v>365</v>
      </c>
      <c r="B34" s="197" t="s">
        <v>366</v>
      </c>
      <c r="C34" s="198">
        <v>12329821</v>
      </c>
      <c r="D34" s="198">
        <v>0</v>
      </c>
      <c r="E34" s="198">
        <v>11479821</v>
      </c>
      <c r="F34" s="198">
        <v>0</v>
      </c>
      <c r="G34" s="198">
        <v>850000</v>
      </c>
      <c r="H34" s="198">
        <v>0</v>
      </c>
    </row>
    <row r="35" spans="1:8" ht="25.5" x14ac:dyDescent="0.2">
      <c r="A35" s="190" t="s">
        <v>367</v>
      </c>
      <c r="B35" s="191" t="s">
        <v>368</v>
      </c>
      <c r="C35" s="192">
        <v>61432018</v>
      </c>
      <c r="D35" s="192">
        <v>0</v>
      </c>
      <c r="E35" s="192">
        <v>0</v>
      </c>
      <c r="F35" s="192">
        <v>0</v>
      </c>
      <c r="G35" s="192">
        <v>0</v>
      </c>
      <c r="H35" s="192">
        <v>61432018</v>
      </c>
    </row>
    <row r="36" spans="1:8" ht="25.5" x14ac:dyDescent="0.2">
      <c r="A36" s="190" t="s">
        <v>369</v>
      </c>
      <c r="B36" s="191" t="s">
        <v>370</v>
      </c>
      <c r="C36" s="192">
        <v>4186872</v>
      </c>
      <c r="D36" s="192">
        <v>0</v>
      </c>
      <c r="E36" s="192">
        <v>0</v>
      </c>
      <c r="F36" s="192">
        <v>4186872</v>
      </c>
      <c r="G36" s="192">
        <v>0</v>
      </c>
      <c r="H36" s="192">
        <v>0</v>
      </c>
    </row>
    <row r="37" spans="1:8" ht="25.5" x14ac:dyDescent="0.2">
      <c r="A37" s="190" t="s">
        <v>371</v>
      </c>
      <c r="B37" s="191" t="s">
        <v>372</v>
      </c>
      <c r="C37" s="192">
        <v>13577493</v>
      </c>
      <c r="D37" s="192">
        <v>0</v>
      </c>
      <c r="E37" s="192">
        <v>0</v>
      </c>
      <c r="F37" s="192">
        <v>10190406</v>
      </c>
      <c r="G37" s="192">
        <v>0</v>
      </c>
      <c r="H37" s="192">
        <v>3387087</v>
      </c>
    </row>
    <row r="38" spans="1:8" ht="38.25" x14ac:dyDescent="0.2">
      <c r="A38" s="190" t="s">
        <v>373</v>
      </c>
      <c r="B38" s="191" t="s">
        <v>374</v>
      </c>
      <c r="C38" s="192">
        <v>4919557</v>
      </c>
      <c r="D38" s="192">
        <v>0</v>
      </c>
      <c r="E38" s="192">
        <v>0</v>
      </c>
      <c r="F38" s="192">
        <v>3881864</v>
      </c>
      <c r="G38" s="192">
        <v>0</v>
      </c>
      <c r="H38" s="192">
        <v>1037693</v>
      </c>
    </row>
    <row r="39" spans="1:8" ht="25.5" x14ac:dyDescent="0.2">
      <c r="A39" s="196" t="s">
        <v>375</v>
      </c>
      <c r="B39" s="197" t="s">
        <v>376</v>
      </c>
      <c r="C39" s="198">
        <v>84115940</v>
      </c>
      <c r="D39" s="198">
        <v>0</v>
      </c>
      <c r="E39" s="198">
        <v>0</v>
      </c>
      <c r="F39" s="198">
        <v>18259142</v>
      </c>
      <c r="G39" s="198">
        <v>0</v>
      </c>
      <c r="H39" s="198">
        <v>65856798</v>
      </c>
    </row>
    <row r="40" spans="1:8" x14ac:dyDescent="0.2">
      <c r="A40" s="190" t="s">
        <v>377</v>
      </c>
      <c r="B40" s="191" t="s">
        <v>378</v>
      </c>
      <c r="C40" s="192">
        <v>123717869</v>
      </c>
      <c r="D40" s="192">
        <v>0</v>
      </c>
      <c r="E40" s="192">
        <v>0</v>
      </c>
      <c r="F40" s="192">
        <v>123717869</v>
      </c>
      <c r="G40" s="192">
        <v>0</v>
      </c>
      <c r="H40" s="192">
        <v>0</v>
      </c>
    </row>
    <row r="41" spans="1:8" ht="25.5" x14ac:dyDescent="0.2">
      <c r="A41" s="190" t="s">
        <v>379</v>
      </c>
      <c r="B41" s="191" t="s">
        <v>380</v>
      </c>
      <c r="C41" s="192">
        <v>737700</v>
      </c>
      <c r="D41" s="192">
        <v>0</v>
      </c>
      <c r="E41" s="192">
        <v>0</v>
      </c>
      <c r="F41" s="192">
        <v>737700</v>
      </c>
      <c r="G41" s="192">
        <v>0</v>
      </c>
      <c r="H41" s="192">
        <v>0</v>
      </c>
    </row>
    <row r="42" spans="1:8" x14ac:dyDescent="0.2">
      <c r="A42" s="196" t="s">
        <v>381</v>
      </c>
      <c r="B42" s="197" t="s">
        <v>382</v>
      </c>
      <c r="C42" s="198">
        <v>124455569</v>
      </c>
      <c r="D42" s="198">
        <v>0</v>
      </c>
      <c r="E42" s="198">
        <v>0</v>
      </c>
      <c r="F42" s="198">
        <v>124455569</v>
      </c>
      <c r="G42" s="198">
        <v>0</v>
      </c>
      <c r="H42" s="198">
        <v>0</v>
      </c>
    </row>
    <row r="43" spans="1:8" ht="38.25" x14ac:dyDescent="0.2">
      <c r="A43" s="196" t="s">
        <v>383</v>
      </c>
      <c r="B43" s="197" t="s">
        <v>384</v>
      </c>
      <c r="C43" s="198">
        <v>275915345</v>
      </c>
      <c r="D43" s="198">
        <v>4541337</v>
      </c>
      <c r="E43" s="198">
        <v>11479821</v>
      </c>
      <c r="F43" s="198">
        <v>176339049</v>
      </c>
      <c r="G43" s="198">
        <v>850000</v>
      </c>
      <c r="H43" s="198">
        <v>82705138</v>
      </c>
    </row>
    <row r="44" spans="1:8" ht="25.5" x14ac:dyDescent="0.2">
      <c r="A44" s="190" t="s">
        <v>385</v>
      </c>
      <c r="B44" s="191" t="s">
        <v>386</v>
      </c>
      <c r="C44" s="192">
        <v>742080811</v>
      </c>
      <c r="D44" s="192">
        <v>0</v>
      </c>
      <c r="E44" s="192">
        <v>742080811</v>
      </c>
      <c r="F44" s="192">
        <v>0</v>
      </c>
      <c r="G44" s="192">
        <v>0</v>
      </c>
      <c r="H44" s="192">
        <v>0</v>
      </c>
    </row>
    <row r="45" spans="1:8" ht="25.5" x14ac:dyDescent="0.2">
      <c r="A45" s="190" t="s">
        <v>387</v>
      </c>
      <c r="B45" s="191" t="s">
        <v>388</v>
      </c>
      <c r="C45" s="192">
        <v>742080811</v>
      </c>
      <c r="D45" s="192">
        <v>0</v>
      </c>
      <c r="E45" s="192">
        <v>742080811</v>
      </c>
      <c r="F45" s="192">
        <v>0</v>
      </c>
      <c r="G45" s="192">
        <v>0</v>
      </c>
      <c r="H45" s="192">
        <v>0</v>
      </c>
    </row>
    <row r="46" spans="1:8" ht="25.5" x14ac:dyDescent="0.2">
      <c r="A46" s="196" t="s">
        <v>389</v>
      </c>
      <c r="B46" s="197" t="s">
        <v>390</v>
      </c>
      <c r="C46" s="198">
        <v>742080811</v>
      </c>
      <c r="D46" s="198">
        <v>0</v>
      </c>
      <c r="E46" s="198">
        <v>742080811</v>
      </c>
      <c r="F46" s="198">
        <v>0</v>
      </c>
      <c r="G46" s="198">
        <v>0</v>
      </c>
      <c r="H46" s="198">
        <v>0</v>
      </c>
    </row>
    <row r="47" spans="1:8" ht="25.5" x14ac:dyDescent="0.2">
      <c r="A47" s="199" t="s">
        <v>391</v>
      </c>
      <c r="B47" s="200" t="s">
        <v>392</v>
      </c>
      <c r="C47" s="201">
        <v>1017996156</v>
      </c>
      <c r="D47" s="201">
        <v>4541337</v>
      </c>
      <c r="E47" s="201">
        <v>753560632</v>
      </c>
      <c r="F47" s="201">
        <v>176339049</v>
      </c>
      <c r="G47" s="201">
        <v>850000</v>
      </c>
      <c r="H47" s="201">
        <v>82705138</v>
      </c>
    </row>
    <row r="49" spans="1:7" ht="15" x14ac:dyDescent="0.25">
      <c r="A49" s="184" t="s">
        <v>393</v>
      </c>
    </row>
    <row r="50" spans="1:7" x14ac:dyDescent="0.2">
      <c r="A50" s="317" t="s">
        <v>394</v>
      </c>
      <c r="B50" s="292"/>
      <c r="C50" s="292"/>
      <c r="D50" s="292"/>
      <c r="E50" s="292"/>
      <c r="F50" s="292"/>
      <c r="G50" s="292"/>
    </row>
    <row r="51" spans="1:7" ht="60" x14ac:dyDescent="0.2">
      <c r="A51" s="186" t="s">
        <v>178</v>
      </c>
      <c r="B51" s="186" t="s">
        <v>5</v>
      </c>
      <c r="C51" s="186" t="s">
        <v>49</v>
      </c>
      <c r="D51" s="186" t="s">
        <v>327</v>
      </c>
      <c r="E51" s="186" t="s">
        <v>395</v>
      </c>
      <c r="F51" s="186" t="s">
        <v>396</v>
      </c>
      <c r="G51" s="186" t="s">
        <v>397</v>
      </c>
    </row>
    <row r="52" spans="1:7" ht="25.5" x14ac:dyDescent="0.2">
      <c r="A52" s="190" t="s">
        <v>311</v>
      </c>
      <c r="B52" s="191" t="s">
        <v>398</v>
      </c>
      <c r="C52" s="192">
        <v>150053000</v>
      </c>
      <c r="D52" s="192">
        <v>0</v>
      </c>
      <c r="E52" s="192">
        <v>24522199</v>
      </c>
      <c r="F52" s="212">
        <v>63312704</v>
      </c>
      <c r="G52" s="192">
        <v>62218097</v>
      </c>
    </row>
    <row r="53" spans="1:7" x14ac:dyDescent="0.2">
      <c r="A53" s="190" t="s">
        <v>314</v>
      </c>
      <c r="B53" s="191" t="s">
        <v>399</v>
      </c>
      <c r="C53" s="192">
        <v>14170548</v>
      </c>
      <c r="D53" s="192">
        <v>0</v>
      </c>
      <c r="E53" s="192">
        <v>2303989</v>
      </c>
      <c r="F53" s="212">
        <v>6196672</v>
      </c>
      <c r="G53" s="192">
        <v>5669887</v>
      </c>
    </row>
    <row r="54" spans="1:7" ht="25.5" x14ac:dyDescent="0.2">
      <c r="A54" s="190" t="s">
        <v>269</v>
      </c>
      <c r="B54" s="191" t="s">
        <v>400</v>
      </c>
      <c r="C54" s="192">
        <v>3002941</v>
      </c>
      <c r="D54" s="192">
        <v>0</v>
      </c>
      <c r="E54" s="192">
        <v>753641</v>
      </c>
      <c r="F54" s="212">
        <v>1285100</v>
      </c>
      <c r="G54" s="192">
        <v>964200</v>
      </c>
    </row>
    <row r="55" spans="1:7" x14ac:dyDescent="0.2">
      <c r="A55" s="190" t="s">
        <v>183</v>
      </c>
      <c r="B55" s="191" t="s">
        <v>401</v>
      </c>
      <c r="C55" s="192">
        <v>974025</v>
      </c>
      <c r="D55" s="192">
        <v>0</v>
      </c>
      <c r="E55" s="192">
        <v>389025</v>
      </c>
      <c r="F55" s="212">
        <v>0</v>
      </c>
      <c r="G55" s="192">
        <v>585000</v>
      </c>
    </row>
    <row r="56" spans="1:7" x14ac:dyDescent="0.2">
      <c r="A56" s="190" t="s">
        <v>319</v>
      </c>
      <c r="B56" s="191" t="s">
        <v>402</v>
      </c>
      <c r="C56" s="192">
        <v>4787496</v>
      </c>
      <c r="D56" s="192">
        <v>0</v>
      </c>
      <c r="E56" s="192">
        <v>774999</v>
      </c>
      <c r="F56" s="212">
        <v>2091666</v>
      </c>
      <c r="G56" s="192">
        <v>1920831</v>
      </c>
    </row>
    <row r="57" spans="1:7" x14ac:dyDescent="0.2">
      <c r="A57" s="190" t="s">
        <v>272</v>
      </c>
      <c r="B57" s="191" t="s">
        <v>403</v>
      </c>
      <c r="C57" s="192">
        <v>2764745</v>
      </c>
      <c r="D57" s="192">
        <v>0</v>
      </c>
      <c r="E57" s="192">
        <v>185340</v>
      </c>
      <c r="F57" s="212">
        <v>1776142</v>
      </c>
      <c r="G57" s="192">
        <v>803263</v>
      </c>
    </row>
    <row r="58" spans="1:7" x14ac:dyDescent="0.2">
      <c r="A58" s="190" t="s">
        <v>187</v>
      </c>
      <c r="B58" s="191" t="s">
        <v>404</v>
      </c>
      <c r="C58" s="192">
        <v>706000</v>
      </c>
      <c r="D58" s="192">
        <v>0</v>
      </c>
      <c r="E58" s="192">
        <v>88000</v>
      </c>
      <c r="F58" s="212">
        <v>341000</v>
      </c>
      <c r="G58" s="192">
        <v>277000</v>
      </c>
    </row>
    <row r="59" spans="1:7" ht="25.5" x14ac:dyDescent="0.2">
      <c r="A59" s="190" t="s">
        <v>279</v>
      </c>
      <c r="B59" s="191" t="s">
        <v>405</v>
      </c>
      <c r="C59" s="192">
        <v>3729648</v>
      </c>
      <c r="D59" s="192">
        <v>0</v>
      </c>
      <c r="E59" s="192">
        <v>666884</v>
      </c>
      <c r="F59" s="212">
        <v>1648738</v>
      </c>
      <c r="G59" s="192">
        <v>1414026</v>
      </c>
    </row>
    <row r="60" spans="1:7" ht="25.5" x14ac:dyDescent="0.2">
      <c r="A60" s="190" t="s">
        <v>321</v>
      </c>
      <c r="B60" s="191" t="s">
        <v>406</v>
      </c>
      <c r="C60" s="192">
        <v>180188403</v>
      </c>
      <c r="D60" s="192">
        <v>0</v>
      </c>
      <c r="E60" s="192">
        <v>29684077</v>
      </c>
      <c r="F60" s="212">
        <v>76652022</v>
      </c>
      <c r="G60" s="192">
        <v>73852304</v>
      </c>
    </row>
    <row r="61" spans="1:7" x14ac:dyDescent="0.2">
      <c r="A61" s="196" t="s">
        <v>291</v>
      </c>
      <c r="B61" s="197" t="s">
        <v>333</v>
      </c>
      <c r="C61" s="198">
        <v>180188403</v>
      </c>
      <c r="D61" s="198">
        <v>0</v>
      </c>
      <c r="E61" s="198">
        <v>29684077</v>
      </c>
      <c r="F61" s="213">
        <v>76652022</v>
      </c>
      <c r="G61" s="198">
        <v>73852304</v>
      </c>
    </row>
    <row r="62" spans="1:7" ht="38.25" x14ac:dyDescent="0.2">
      <c r="A62" s="196" t="s">
        <v>293</v>
      </c>
      <c r="B62" s="197" t="s">
        <v>334</v>
      </c>
      <c r="C62" s="198">
        <v>35290596</v>
      </c>
      <c r="D62" s="198">
        <v>0</v>
      </c>
      <c r="E62" s="198">
        <v>5656144</v>
      </c>
      <c r="F62" s="213">
        <v>15201780</v>
      </c>
      <c r="G62" s="198">
        <v>14432672</v>
      </c>
    </row>
    <row r="63" spans="1:7" ht="25.5" x14ac:dyDescent="0.2">
      <c r="A63" s="190" t="s">
        <v>295</v>
      </c>
      <c r="B63" s="191" t="s">
        <v>335</v>
      </c>
      <c r="C63" s="192">
        <v>32868000</v>
      </c>
      <c r="D63" s="192">
        <v>0</v>
      </c>
      <c r="E63" s="192">
        <v>5425794</v>
      </c>
      <c r="F63" s="212">
        <v>13915513</v>
      </c>
      <c r="G63" s="192">
        <v>13526693</v>
      </c>
    </row>
    <row r="64" spans="1:7" x14ac:dyDescent="0.2">
      <c r="A64" s="190" t="s">
        <v>297</v>
      </c>
      <c r="B64" s="191" t="s">
        <v>407</v>
      </c>
      <c r="C64" s="192">
        <v>568000</v>
      </c>
      <c r="D64" s="192">
        <v>0</v>
      </c>
      <c r="E64" s="192">
        <v>113600</v>
      </c>
      <c r="F64" s="212">
        <v>284000</v>
      </c>
      <c r="G64" s="192">
        <v>170400</v>
      </c>
    </row>
    <row r="65" spans="1:7" ht="25.5" x14ac:dyDescent="0.2">
      <c r="A65" s="190" t="s">
        <v>299</v>
      </c>
      <c r="B65" s="191" t="s">
        <v>336</v>
      </c>
      <c r="C65" s="192">
        <v>48000</v>
      </c>
      <c r="D65" s="192">
        <v>0</v>
      </c>
      <c r="E65" s="192">
        <v>0</v>
      </c>
      <c r="F65" s="212">
        <v>47244</v>
      </c>
      <c r="G65" s="192">
        <v>756</v>
      </c>
    </row>
    <row r="66" spans="1:7" x14ac:dyDescent="0.2">
      <c r="A66" s="190" t="s">
        <v>408</v>
      </c>
      <c r="B66" s="191" t="s">
        <v>409</v>
      </c>
      <c r="C66" s="192">
        <v>1051596</v>
      </c>
      <c r="D66" s="192">
        <v>0</v>
      </c>
      <c r="E66" s="192">
        <v>0</v>
      </c>
      <c r="F66" s="212">
        <v>604932</v>
      </c>
      <c r="G66" s="192">
        <v>446664</v>
      </c>
    </row>
    <row r="67" spans="1:7" ht="25.5" x14ac:dyDescent="0.2">
      <c r="A67" s="190" t="s">
        <v>337</v>
      </c>
      <c r="B67" s="191" t="s">
        <v>338</v>
      </c>
      <c r="C67" s="192">
        <v>755000</v>
      </c>
      <c r="D67" s="192">
        <v>0</v>
      </c>
      <c r="E67" s="192">
        <v>116750</v>
      </c>
      <c r="F67" s="212">
        <v>350091</v>
      </c>
      <c r="G67" s="192">
        <v>288159</v>
      </c>
    </row>
    <row r="68" spans="1:7" x14ac:dyDescent="0.2">
      <c r="A68" s="190" t="s">
        <v>189</v>
      </c>
      <c r="B68" s="191" t="s">
        <v>410</v>
      </c>
      <c r="C68" s="192">
        <v>189502</v>
      </c>
      <c r="D68" s="192">
        <v>0</v>
      </c>
      <c r="E68" s="192">
        <v>21324</v>
      </c>
      <c r="F68" s="212">
        <v>126079</v>
      </c>
      <c r="G68" s="192">
        <v>42099</v>
      </c>
    </row>
    <row r="69" spans="1:7" ht="25.5" x14ac:dyDescent="0.2">
      <c r="A69" s="190" t="s">
        <v>259</v>
      </c>
      <c r="B69" s="191" t="s">
        <v>339</v>
      </c>
      <c r="C69" s="192">
        <v>4509567</v>
      </c>
      <c r="D69" s="192">
        <v>0</v>
      </c>
      <c r="E69" s="192">
        <v>1637432</v>
      </c>
      <c r="F69" s="212">
        <v>1869525</v>
      </c>
      <c r="G69" s="192">
        <v>1002610</v>
      </c>
    </row>
    <row r="70" spans="1:7" x14ac:dyDescent="0.2">
      <c r="A70" s="190" t="s">
        <v>340</v>
      </c>
      <c r="B70" s="191" t="s">
        <v>341</v>
      </c>
      <c r="C70" s="192">
        <v>4699069</v>
      </c>
      <c r="D70" s="192">
        <v>0</v>
      </c>
      <c r="E70" s="192">
        <v>1658756</v>
      </c>
      <c r="F70" s="212">
        <v>1995604</v>
      </c>
      <c r="G70" s="192">
        <v>1044709</v>
      </c>
    </row>
    <row r="71" spans="1:7" ht="25.5" x14ac:dyDescent="0.2">
      <c r="A71" s="190" t="s">
        <v>302</v>
      </c>
      <c r="B71" s="191" t="s">
        <v>342</v>
      </c>
      <c r="C71" s="192">
        <v>3035939</v>
      </c>
      <c r="D71" s="192">
        <v>0</v>
      </c>
      <c r="E71" s="192">
        <v>521978</v>
      </c>
      <c r="F71" s="212">
        <v>1548615</v>
      </c>
      <c r="G71" s="192">
        <v>965346</v>
      </c>
    </row>
    <row r="72" spans="1:7" ht="25.5" x14ac:dyDescent="0.2">
      <c r="A72" s="190" t="s">
        <v>411</v>
      </c>
      <c r="B72" s="191" t="s">
        <v>412</v>
      </c>
      <c r="C72" s="192">
        <v>1204536</v>
      </c>
      <c r="D72" s="192">
        <v>0</v>
      </c>
      <c r="E72" s="192">
        <v>101475</v>
      </c>
      <c r="F72" s="212">
        <v>598425</v>
      </c>
      <c r="G72" s="192">
        <v>504636</v>
      </c>
    </row>
    <row r="73" spans="1:7" ht="25.5" x14ac:dyDescent="0.2">
      <c r="A73" s="190" t="s">
        <v>191</v>
      </c>
      <c r="B73" s="191" t="s">
        <v>343</v>
      </c>
      <c r="C73" s="192">
        <v>4240475</v>
      </c>
      <c r="D73" s="192">
        <v>0</v>
      </c>
      <c r="E73" s="192">
        <v>623453</v>
      </c>
      <c r="F73" s="212">
        <v>2147040</v>
      </c>
      <c r="G73" s="192">
        <v>1469982</v>
      </c>
    </row>
    <row r="74" spans="1:7" x14ac:dyDescent="0.2">
      <c r="A74" s="190" t="s">
        <v>413</v>
      </c>
      <c r="B74" s="191" t="s">
        <v>414</v>
      </c>
      <c r="C74" s="192">
        <v>2588623</v>
      </c>
      <c r="D74" s="192">
        <v>0</v>
      </c>
      <c r="E74" s="192">
        <v>1269703</v>
      </c>
      <c r="F74" s="212">
        <v>965136</v>
      </c>
      <c r="G74" s="192">
        <v>353784</v>
      </c>
    </row>
    <row r="75" spans="1:7" x14ac:dyDescent="0.2">
      <c r="A75" s="190" t="s">
        <v>415</v>
      </c>
      <c r="B75" s="191" t="s">
        <v>416</v>
      </c>
      <c r="C75" s="192">
        <v>1292433</v>
      </c>
      <c r="D75" s="192">
        <v>0</v>
      </c>
      <c r="E75" s="192">
        <v>869938</v>
      </c>
      <c r="F75" s="212">
        <v>412338</v>
      </c>
      <c r="G75" s="192">
        <v>10157</v>
      </c>
    </row>
    <row r="76" spans="1:7" x14ac:dyDescent="0.2">
      <c r="A76" s="190" t="s">
        <v>417</v>
      </c>
      <c r="B76" s="191" t="s">
        <v>418</v>
      </c>
      <c r="C76" s="192">
        <v>37655</v>
      </c>
      <c r="D76" s="192">
        <v>0</v>
      </c>
      <c r="E76" s="192">
        <v>17655</v>
      </c>
      <c r="F76" s="212">
        <v>0</v>
      </c>
      <c r="G76" s="192">
        <v>20000</v>
      </c>
    </row>
    <row r="77" spans="1:7" ht="25.5" x14ac:dyDescent="0.2">
      <c r="A77" s="190" t="s">
        <v>419</v>
      </c>
      <c r="B77" s="191" t="s">
        <v>420</v>
      </c>
      <c r="C77" s="192">
        <v>2373055</v>
      </c>
      <c r="D77" s="192">
        <v>0</v>
      </c>
      <c r="E77" s="192">
        <v>1515914</v>
      </c>
      <c r="F77" s="212">
        <v>677450</v>
      </c>
      <c r="G77" s="192">
        <v>179691</v>
      </c>
    </row>
    <row r="78" spans="1:7" ht="25.5" x14ac:dyDescent="0.2">
      <c r="A78" s="190" t="s">
        <v>344</v>
      </c>
      <c r="B78" s="191" t="s">
        <v>345</v>
      </c>
      <c r="C78" s="192">
        <v>10000</v>
      </c>
      <c r="D78" s="192">
        <v>0</v>
      </c>
      <c r="E78" s="192">
        <v>0</v>
      </c>
      <c r="F78" s="212">
        <v>0</v>
      </c>
      <c r="G78" s="192">
        <v>10000</v>
      </c>
    </row>
    <row r="79" spans="1:7" x14ac:dyDescent="0.2">
      <c r="A79" s="190" t="s">
        <v>421</v>
      </c>
      <c r="B79" s="191" t="s">
        <v>422</v>
      </c>
      <c r="C79" s="192">
        <v>10000</v>
      </c>
      <c r="D79" s="192">
        <v>0</v>
      </c>
      <c r="E79" s="192">
        <v>0</v>
      </c>
      <c r="F79" s="212">
        <v>0</v>
      </c>
      <c r="G79" s="192">
        <v>10000</v>
      </c>
    </row>
    <row r="80" spans="1:7" ht="25.5" x14ac:dyDescent="0.2">
      <c r="A80" s="190" t="s">
        <v>423</v>
      </c>
      <c r="B80" s="191" t="s">
        <v>424</v>
      </c>
      <c r="C80" s="192">
        <v>3680300</v>
      </c>
      <c r="D80" s="192">
        <v>0</v>
      </c>
      <c r="E80" s="192">
        <v>638300</v>
      </c>
      <c r="F80" s="212">
        <v>1667000</v>
      </c>
      <c r="G80" s="192">
        <v>1375000</v>
      </c>
    </row>
    <row r="81" spans="1:7" x14ac:dyDescent="0.2">
      <c r="A81" s="190" t="s">
        <v>195</v>
      </c>
      <c r="B81" s="191" t="s">
        <v>346</v>
      </c>
      <c r="C81" s="192">
        <v>3784160</v>
      </c>
      <c r="D81" s="192">
        <v>0</v>
      </c>
      <c r="E81" s="192">
        <v>1154613</v>
      </c>
      <c r="F81" s="212">
        <v>1649857</v>
      </c>
      <c r="G81" s="192">
        <v>979690</v>
      </c>
    </row>
    <row r="82" spans="1:7" x14ac:dyDescent="0.2">
      <c r="A82" s="190" t="s">
        <v>305</v>
      </c>
      <c r="B82" s="191" t="s">
        <v>347</v>
      </c>
      <c r="C82" s="192">
        <v>137800</v>
      </c>
      <c r="D82" s="192">
        <v>0</v>
      </c>
      <c r="E82" s="192">
        <v>18637</v>
      </c>
      <c r="F82" s="212">
        <v>46594</v>
      </c>
      <c r="G82" s="192">
        <v>72569</v>
      </c>
    </row>
    <row r="83" spans="1:7" ht="25.5" x14ac:dyDescent="0.2">
      <c r="A83" s="190" t="s">
        <v>348</v>
      </c>
      <c r="B83" s="191" t="s">
        <v>349</v>
      </c>
      <c r="C83" s="192">
        <v>13766226</v>
      </c>
      <c r="D83" s="192">
        <v>0</v>
      </c>
      <c r="E83" s="192">
        <v>5466123</v>
      </c>
      <c r="F83" s="212">
        <v>5371781</v>
      </c>
      <c r="G83" s="192">
        <v>2928322</v>
      </c>
    </row>
    <row r="84" spans="1:7" x14ac:dyDescent="0.2">
      <c r="A84" s="190" t="s">
        <v>425</v>
      </c>
      <c r="B84" s="191" t="s">
        <v>426</v>
      </c>
      <c r="C84" s="192">
        <v>3420972</v>
      </c>
      <c r="D84" s="192">
        <v>0</v>
      </c>
      <c r="E84" s="192">
        <v>48196</v>
      </c>
      <c r="F84" s="212">
        <v>2928712</v>
      </c>
      <c r="G84" s="192">
        <v>444064</v>
      </c>
    </row>
    <row r="85" spans="1:7" ht="25.5" x14ac:dyDescent="0.2">
      <c r="A85" s="190" t="s">
        <v>427</v>
      </c>
      <c r="B85" s="191" t="s">
        <v>428</v>
      </c>
      <c r="C85" s="192">
        <v>20000</v>
      </c>
      <c r="D85" s="192">
        <v>0</v>
      </c>
      <c r="E85" s="192">
        <v>3000</v>
      </c>
      <c r="F85" s="212">
        <v>7500</v>
      </c>
      <c r="G85" s="192">
        <v>9500</v>
      </c>
    </row>
    <row r="86" spans="1:7" ht="25.5" x14ac:dyDescent="0.2">
      <c r="A86" s="190" t="s">
        <v>429</v>
      </c>
      <c r="B86" s="191" t="s">
        <v>430</v>
      </c>
      <c r="C86" s="192">
        <v>3440972</v>
      </c>
      <c r="D86" s="192">
        <v>0</v>
      </c>
      <c r="E86" s="192">
        <v>51196</v>
      </c>
      <c r="F86" s="212">
        <v>2936212</v>
      </c>
      <c r="G86" s="192">
        <v>453564</v>
      </c>
    </row>
    <row r="87" spans="1:7" ht="38.25" x14ac:dyDescent="0.2">
      <c r="A87" s="190" t="s">
        <v>350</v>
      </c>
      <c r="B87" s="191" t="s">
        <v>351</v>
      </c>
      <c r="C87" s="192">
        <v>3915966</v>
      </c>
      <c r="D87" s="192">
        <v>0</v>
      </c>
      <c r="E87" s="192">
        <v>1388126</v>
      </c>
      <c r="F87" s="212">
        <v>1665449</v>
      </c>
      <c r="G87" s="192">
        <v>862391</v>
      </c>
    </row>
    <row r="88" spans="1:7" x14ac:dyDescent="0.2">
      <c r="A88" s="190" t="s">
        <v>353</v>
      </c>
      <c r="B88" s="191" t="s">
        <v>354</v>
      </c>
      <c r="C88" s="192">
        <v>126707</v>
      </c>
      <c r="D88" s="192">
        <v>0</v>
      </c>
      <c r="E88" s="192">
        <v>7001</v>
      </c>
      <c r="F88" s="212">
        <v>17503</v>
      </c>
      <c r="G88" s="192">
        <v>102203</v>
      </c>
    </row>
    <row r="89" spans="1:7" ht="25.5" x14ac:dyDescent="0.2">
      <c r="A89" s="190" t="s">
        <v>355</v>
      </c>
      <c r="B89" s="191" t="s">
        <v>356</v>
      </c>
      <c r="C89" s="192">
        <v>4042673</v>
      </c>
      <c r="D89" s="192">
        <v>0</v>
      </c>
      <c r="E89" s="192">
        <v>1395127</v>
      </c>
      <c r="F89" s="212">
        <v>1682952</v>
      </c>
      <c r="G89" s="192">
        <v>964594</v>
      </c>
    </row>
    <row r="90" spans="1:7" ht="25.5" x14ac:dyDescent="0.2">
      <c r="A90" s="196" t="s">
        <v>357</v>
      </c>
      <c r="B90" s="197" t="s">
        <v>358</v>
      </c>
      <c r="C90" s="198">
        <v>30189415</v>
      </c>
      <c r="D90" s="198">
        <v>0</v>
      </c>
      <c r="E90" s="198">
        <v>9194655</v>
      </c>
      <c r="F90" s="213">
        <v>14133589</v>
      </c>
      <c r="G90" s="198">
        <v>6861171</v>
      </c>
    </row>
    <row r="91" spans="1:7" ht="25.5" x14ac:dyDescent="0.2">
      <c r="A91" s="190" t="s">
        <v>431</v>
      </c>
      <c r="B91" s="191" t="s">
        <v>432</v>
      </c>
      <c r="C91" s="192">
        <v>363530</v>
      </c>
      <c r="D91" s="192">
        <v>0</v>
      </c>
      <c r="E91" s="192">
        <v>363530</v>
      </c>
      <c r="F91" s="212">
        <v>0</v>
      </c>
      <c r="G91" s="192">
        <v>0</v>
      </c>
    </row>
    <row r="92" spans="1:7" ht="25.5" x14ac:dyDescent="0.2">
      <c r="A92" s="196" t="s">
        <v>433</v>
      </c>
      <c r="B92" s="197" t="s">
        <v>434</v>
      </c>
      <c r="C92" s="198">
        <v>363530</v>
      </c>
      <c r="D92" s="198">
        <v>0</v>
      </c>
      <c r="E92" s="198">
        <v>363530</v>
      </c>
      <c r="F92" s="213">
        <v>0</v>
      </c>
      <c r="G92" s="198">
        <v>0</v>
      </c>
    </row>
    <row r="93" spans="1:7" ht="38.25" x14ac:dyDescent="0.2">
      <c r="A93" s="190" t="s">
        <v>359</v>
      </c>
      <c r="B93" s="191" t="s">
        <v>360</v>
      </c>
      <c r="C93" s="192">
        <v>186742</v>
      </c>
      <c r="D93" s="192">
        <v>186742</v>
      </c>
      <c r="E93" s="192">
        <v>0</v>
      </c>
      <c r="F93" s="212">
        <v>0</v>
      </c>
      <c r="G93" s="192">
        <v>0</v>
      </c>
    </row>
    <row r="94" spans="1:7" ht="25.5" x14ac:dyDescent="0.2">
      <c r="A94" s="190" t="s">
        <v>435</v>
      </c>
      <c r="B94" s="191" t="s">
        <v>436</v>
      </c>
      <c r="C94" s="192">
        <v>186742</v>
      </c>
      <c r="D94" s="192">
        <v>186742</v>
      </c>
      <c r="E94" s="192">
        <v>0</v>
      </c>
      <c r="F94" s="212">
        <v>0</v>
      </c>
      <c r="G94" s="192">
        <v>0</v>
      </c>
    </row>
    <row r="95" spans="1:7" ht="38.25" x14ac:dyDescent="0.2">
      <c r="A95" s="196" t="s">
        <v>365</v>
      </c>
      <c r="B95" s="197" t="s">
        <v>366</v>
      </c>
      <c r="C95" s="198">
        <v>186742</v>
      </c>
      <c r="D95" s="198">
        <v>186742</v>
      </c>
      <c r="E95" s="198">
        <v>0</v>
      </c>
      <c r="F95" s="213">
        <v>0</v>
      </c>
      <c r="G95" s="198">
        <v>0</v>
      </c>
    </row>
    <row r="96" spans="1:7" ht="25.5" x14ac:dyDescent="0.2">
      <c r="A96" s="190" t="s">
        <v>437</v>
      </c>
      <c r="B96" s="191" t="s">
        <v>438</v>
      </c>
      <c r="C96" s="192">
        <v>180000</v>
      </c>
      <c r="D96" s="192">
        <v>0</v>
      </c>
      <c r="E96" s="192">
        <v>0</v>
      </c>
      <c r="F96" s="212">
        <v>94500</v>
      </c>
      <c r="G96" s="192">
        <v>85500</v>
      </c>
    </row>
    <row r="97" spans="1:19" ht="25.5" x14ac:dyDescent="0.2">
      <c r="A97" s="190" t="s">
        <v>369</v>
      </c>
      <c r="B97" s="191" t="s">
        <v>370</v>
      </c>
      <c r="C97" s="192">
        <v>5669</v>
      </c>
      <c r="D97" s="192">
        <v>0</v>
      </c>
      <c r="E97" s="192">
        <v>0</v>
      </c>
      <c r="F97" s="212">
        <v>0</v>
      </c>
      <c r="G97" s="192">
        <v>5669</v>
      </c>
    </row>
    <row r="98" spans="1:19" ht="25.5" x14ac:dyDescent="0.2">
      <c r="A98" s="190" t="s">
        <v>371</v>
      </c>
      <c r="B98" s="191" t="s">
        <v>372</v>
      </c>
      <c r="C98" s="192">
        <v>7573675</v>
      </c>
      <c r="D98" s="192">
        <v>0</v>
      </c>
      <c r="E98" s="192">
        <v>573536</v>
      </c>
      <c r="F98" s="212">
        <v>1168905</v>
      </c>
      <c r="G98" s="192">
        <v>5831234</v>
      </c>
    </row>
    <row r="99" spans="1:19" ht="38.25" x14ac:dyDescent="0.2">
      <c r="A99" s="190" t="s">
        <v>373</v>
      </c>
      <c r="B99" s="191" t="s">
        <v>374</v>
      </c>
      <c r="C99" s="192">
        <v>1523222</v>
      </c>
      <c r="D99" s="192">
        <v>0</v>
      </c>
      <c r="E99" s="192">
        <v>54145</v>
      </c>
      <c r="F99" s="212">
        <v>234727</v>
      </c>
      <c r="G99" s="192">
        <v>1234350</v>
      </c>
    </row>
    <row r="100" spans="1:19" ht="25.5" x14ac:dyDescent="0.2">
      <c r="A100" s="196" t="s">
        <v>375</v>
      </c>
      <c r="B100" s="197" t="s">
        <v>376</v>
      </c>
      <c r="C100" s="198">
        <v>9282566</v>
      </c>
      <c r="D100" s="198">
        <v>0</v>
      </c>
      <c r="E100" s="198">
        <v>627681</v>
      </c>
      <c r="F100" s="213">
        <v>1498132</v>
      </c>
      <c r="G100" s="198">
        <v>7156753</v>
      </c>
    </row>
    <row r="101" spans="1:19" x14ac:dyDescent="0.2">
      <c r="A101" s="190" t="s">
        <v>377</v>
      </c>
      <c r="B101" s="191" t="s">
        <v>378</v>
      </c>
      <c r="C101" s="192">
        <v>4498611</v>
      </c>
      <c r="D101" s="192">
        <v>0</v>
      </c>
      <c r="E101" s="192">
        <v>0</v>
      </c>
      <c r="F101" s="212">
        <v>0</v>
      </c>
      <c r="G101" s="192">
        <v>4498611</v>
      </c>
    </row>
    <row r="102" spans="1:19" ht="25.5" x14ac:dyDescent="0.2">
      <c r="A102" s="190" t="s">
        <v>439</v>
      </c>
      <c r="B102" s="191" t="s">
        <v>440</v>
      </c>
      <c r="C102" s="192">
        <v>856693</v>
      </c>
      <c r="D102" s="192">
        <v>0</v>
      </c>
      <c r="E102" s="192">
        <v>856693</v>
      </c>
      <c r="F102" s="212">
        <v>0</v>
      </c>
      <c r="G102" s="192">
        <v>0</v>
      </c>
    </row>
    <row r="103" spans="1:19" ht="25.5" x14ac:dyDescent="0.2">
      <c r="A103" s="190" t="s">
        <v>379</v>
      </c>
      <c r="B103" s="191" t="s">
        <v>380</v>
      </c>
      <c r="C103" s="192">
        <v>1445932</v>
      </c>
      <c r="D103" s="192">
        <v>0</v>
      </c>
      <c r="E103" s="192">
        <v>231307</v>
      </c>
      <c r="F103" s="212">
        <v>0</v>
      </c>
      <c r="G103" s="192">
        <v>1214625</v>
      </c>
    </row>
    <row r="104" spans="1:19" x14ac:dyDescent="0.2">
      <c r="A104" s="196" t="s">
        <v>381</v>
      </c>
      <c r="B104" s="197" t="s">
        <v>382</v>
      </c>
      <c r="C104" s="198">
        <v>6801236</v>
      </c>
      <c r="D104" s="198">
        <v>0</v>
      </c>
      <c r="E104" s="198">
        <v>1088000</v>
      </c>
      <c r="F104" s="213">
        <v>0</v>
      </c>
      <c r="G104" s="198">
        <v>5713236</v>
      </c>
    </row>
    <row r="105" spans="1:19" ht="38.25" x14ac:dyDescent="0.2">
      <c r="A105" s="196" t="s">
        <v>383</v>
      </c>
      <c r="B105" s="197" t="s">
        <v>384</v>
      </c>
      <c r="C105" s="198">
        <v>262302488</v>
      </c>
      <c r="D105" s="198">
        <v>186742</v>
      </c>
      <c r="E105" s="198">
        <v>46614087</v>
      </c>
      <c r="F105" s="213">
        <v>107485523</v>
      </c>
      <c r="G105" s="198">
        <v>108016136</v>
      </c>
    </row>
    <row r="106" spans="1:19" ht="25.5" x14ac:dyDescent="0.2">
      <c r="A106" s="196" t="s">
        <v>391</v>
      </c>
      <c r="B106" s="197" t="s">
        <v>392</v>
      </c>
      <c r="C106" s="198">
        <v>262302488</v>
      </c>
      <c r="D106" s="198">
        <v>186742</v>
      </c>
      <c r="E106" s="198">
        <v>46614087</v>
      </c>
      <c r="F106" s="213">
        <v>107485523</v>
      </c>
      <c r="G106" s="198">
        <v>108016136</v>
      </c>
    </row>
    <row r="108" spans="1:19" ht="27" customHeight="1" x14ac:dyDescent="0.2">
      <c r="A108" s="318" t="s">
        <v>258</v>
      </c>
      <c r="B108" s="318"/>
      <c r="C108" s="318"/>
    </row>
    <row r="109" spans="1:19" x14ac:dyDescent="0.2">
      <c r="A109" s="317" t="s">
        <v>325</v>
      </c>
      <c r="B109" s="292"/>
      <c r="C109" s="292"/>
      <c r="D109" s="292"/>
      <c r="E109" s="292"/>
      <c r="F109" s="292"/>
      <c r="G109" s="292"/>
      <c r="H109" s="292"/>
      <c r="I109" s="292"/>
      <c r="J109" s="292"/>
      <c r="K109" s="292"/>
      <c r="L109" s="292"/>
      <c r="M109" s="292"/>
      <c r="N109" s="292"/>
      <c r="O109" s="292"/>
      <c r="P109" s="292"/>
      <c r="Q109" s="292"/>
      <c r="R109" s="292"/>
      <c r="S109" s="292"/>
    </row>
    <row r="110" spans="1:19" ht="87" customHeight="1" x14ac:dyDescent="0.2">
      <c r="A110" s="186" t="s">
        <v>178</v>
      </c>
      <c r="B110" s="186" t="s">
        <v>5</v>
      </c>
      <c r="C110" s="186" t="s">
        <v>49</v>
      </c>
      <c r="D110" s="186" t="s">
        <v>327</v>
      </c>
      <c r="E110" s="186" t="s">
        <v>441</v>
      </c>
      <c r="F110" s="186" t="s">
        <v>442</v>
      </c>
      <c r="G110" s="186" t="s">
        <v>443</v>
      </c>
      <c r="H110" s="186" t="s">
        <v>444</v>
      </c>
      <c r="I110" s="186" t="s">
        <v>445</v>
      </c>
      <c r="J110" s="186" t="s">
        <v>446</v>
      </c>
      <c r="K110" s="186" t="s">
        <v>447</v>
      </c>
      <c r="L110" s="186" t="s">
        <v>448</v>
      </c>
      <c r="M110" s="186" t="s">
        <v>330</v>
      </c>
      <c r="N110" s="186" t="s">
        <v>449</v>
      </c>
      <c r="O110" s="186" t="s">
        <v>450</v>
      </c>
      <c r="P110" s="186" t="s">
        <v>451</v>
      </c>
      <c r="Q110" s="186" t="s">
        <v>452</v>
      </c>
      <c r="R110" s="186" t="s">
        <v>453</v>
      </c>
      <c r="S110" s="186" t="s">
        <v>454</v>
      </c>
    </row>
    <row r="111" spans="1:19" ht="25.5" x14ac:dyDescent="0.2">
      <c r="A111" s="190" t="s">
        <v>311</v>
      </c>
      <c r="B111" s="191" t="s">
        <v>398</v>
      </c>
      <c r="C111" s="192">
        <v>355026902</v>
      </c>
      <c r="D111" s="192">
        <v>0</v>
      </c>
      <c r="E111" s="192">
        <v>1230120</v>
      </c>
      <c r="F111" s="192">
        <v>16399565</v>
      </c>
      <c r="G111" s="192">
        <v>85113608</v>
      </c>
      <c r="H111" s="192">
        <v>57086338</v>
      </c>
      <c r="I111" s="192">
        <v>38189199</v>
      </c>
      <c r="J111" s="192">
        <v>18062943</v>
      </c>
      <c r="K111" s="192">
        <v>24710158</v>
      </c>
      <c r="L111" s="192">
        <v>13603866</v>
      </c>
      <c r="M111" s="192">
        <v>19242553</v>
      </c>
      <c r="N111" s="192">
        <v>7027396</v>
      </c>
      <c r="O111" s="192">
        <v>6012053</v>
      </c>
      <c r="P111" s="192">
        <v>969037</v>
      </c>
      <c r="Q111" s="212">
        <v>5923937</v>
      </c>
      <c r="R111" s="212">
        <v>58398662</v>
      </c>
      <c r="S111" s="212">
        <v>3057467</v>
      </c>
    </row>
    <row r="112" spans="1:19" x14ac:dyDescent="0.2">
      <c r="A112" s="190" t="s">
        <v>314</v>
      </c>
      <c r="B112" s="191" t="s">
        <v>399</v>
      </c>
      <c r="C112" s="192">
        <v>34312338</v>
      </c>
      <c r="D112" s="192">
        <v>0</v>
      </c>
      <c r="E112" s="192">
        <v>0</v>
      </c>
      <c r="F112" s="192">
        <v>1429146</v>
      </c>
      <c r="G112" s="192">
        <v>8105009</v>
      </c>
      <c r="H112" s="192">
        <v>5483015</v>
      </c>
      <c r="I112" s="192">
        <v>3884601</v>
      </c>
      <c r="J112" s="192">
        <v>1783471</v>
      </c>
      <c r="K112" s="192">
        <v>2271534</v>
      </c>
      <c r="L112" s="192">
        <v>1198605</v>
      </c>
      <c r="M112" s="192">
        <v>1746899</v>
      </c>
      <c r="N112" s="192">
        <v>415548</v>
      </c>
      <c r="O112" s="192">
        <v>530824</v>
      </c>
      <c r="P112" s="192">
        <v>102234</v>
      </c>
      <c r="Q112" s="212">
        <v>682054</v>
      </c>
      <c r="R112" s="212">
        <v>6335992</v>
      </c>
      <c r="S112" s="212">
        <v>343406</v>
      </c>
    </row>
    <row r="113" spans="1:19" ht="25.5" x14ac:dyDescent="0.2">
      <c r="A113" s="190" t="s">
        <v>269</v>
      </c>
      <c r="B113" s="191" t="s">
        <v>400</v>
      </c>
      <c r="C113" s="192">
        <v>11632985</v>
      </c>
      <c r="D113" s="192">
        <v>0</v>
      </c>
      <c r="E113" s="192">
        <v>0</v>
      </c>
      <c r="F113" s="192">
        <v>15095</v>
      </c>
      <c r="G113" s="192">
        <v>3163779</v>
      </c>
      <c r="H113" s="192">
        <v>2075267</v>
      </c>
      <c r="I113" s="192">
        <v>1518390</v>
      </c>
      <c r="J113" s="192">
        <v>583311</v>
      </c>
      <c r="K113" s="192">
        <v>5192</v>
      </c>
      <c r="L113" s="192">
        <v>23823</v>
      </c>
      <c r="M113" s="192">
        <v>390149</v>
      </c>
      <c r="N113" s="192">
        <v>216805</v>
      </c>
      <c r="O113" s="192">
        <v>0</v>
      </c>
      <c r="P113" s="192">
        <v>16714</v>
      </c>
      <c r="Q113" s="212">
        <v>37460</v>
      </c>
      <c r="R113" s="212">
        <v>0</v>
      </c>
      <c r="S113" s="212">
        <v>3587000</v>
      </c>
    </row>
    <row r="114" spans="1:19" x14ac:dyDescent="0.2">
      <c r="A114" s="190" t="s">
        <v>183</v>
      </c>
      <c r="B114" s="191" t="s">
        <v>401</v>
      </c>
      <c r="C114" s="192">
        <v>2815934</v>
      </c>
      <c r="D114" s="192">
        <v>0</v>
      </c>
      <c r="E114" s="192">
        <v>0</v>
      </c>
      <c r="F114" s="192">
        <v>592800</v>
      </c>
      <c r="G114" s="192">
        <v>330306</v>
      </c>
      <c r="H114" s="192">
        <v>293694</v>
      </c>
      <c r="I114" s="192">
        <v>58500</v>
      </c>
      <c r="J114" s="192">
        <v>58500</v>
      </c>
      <c r="K114" s="192">
        <v>7800</v>
      </c>
      <c r="L114" s="192">
        <v>0</v>
      </c>
      <c r="M114" s="192">
        <v>7800</v>
      </c>
      <c r="N114" s="192">
        <v>0</v>
      </c>
      <c r="O114" s="192">
        <v>0</v>
      </c>
      <c r="P114" s="192">
        <v>0</v>
      </c>
      <c r="Q114" s="212">
        <v>397800</v>
      </c>
      <c r="R114" s="212">
        <v>1068734</v>
      </c>
      <c r="S114" s="212">
        <v>0</v>
      </c>
    </row>
    <row r="115" spans="1:19" x14ac:dyDescent="0.2">
      <c r="A115" s="190" t="s">
        <v>319</v>
      </c>
      <c r="B115" s="191" t="s">
        <v>402</v>
      </c>
      <c r="C115" s="192">
        <v>11905209</v>
      </c>
      <c r="D115" s="192">
        <v>0</v>
      </c>
      <c r="E115" s="192">
        <v>0</v>
      </c>
      <c r="F115" s="192">
        <v>440036</v>
      </c>
      <c r="G115" s="192">
        <v>2865169</v>
      </c>
      <c r="H115" s="192">
        <v>1852265</v>
      </c>
      <c r="I115" s="192">
        <v>1309189</v>
      </c>
      <c r="J115" s="192">
        <v>579900</v>
      </c>
      <c r="K115" s="192">
        <v>888124</v>
      </c>
      <c r="L115" s="192">
        <v>460643</v>
      </c>
      <c r="M115" s="192">
        <v>532792</v>
      </c>
      <c r="N115" s="192">
        <v>225000</v>
      </c>
      <c r="O115" s="192">
        <v>175000</v>
      </c>
      <c r="P115" s="192">
        <v>42102</v>
      </c>
      <c r="Q115" s="212">
        <v>224363</v>
      </c>
      <c r="R115" s="212">
        <v>2210626</v>
      </c>
      <c r="S115" s="212">
        <v>100000</v>
      </c>
    </row>
    <row r="116" spans="1:19" x14ac:dyDescent="0.2">
      <c r="A116" s="190" t="s">
        <v>272</v>
      </c>
      <c r="B116" s="191" t="s">
        <v>403</v>
      </c>
      <c r="C116" s="192">
        <v>5482066</v>
      </c>
      <c r="D116" s="192">
        <v>0</v>
      </c>
      <c r="E116" s="192">
        <v>0</v>
      </c>
      <c r="F116" s="192">
        <v>382186</v>
      </c>
      <c r="G116" s="192">
        <v>1590364</v>
      </c>
      <c r="H116" s="192">
        <v>1115244</v>
      </c>
      <c r="I116" s="192">
        <v>633575</v>
      </c>
      <c r="J116" s="192">
        <v>260177</v>
      </c>
      <c r="K116" s="192">
        <v>342366</v>
      </c>
      <c r="L116" s="192">
        <v>172902</v>
      </c>
      <c r="M116" s="192">
        <v>384966</v>
      </c>
      <c r="N116" s="192">
        <v>2700</v>
      </c>
      <c r="O116" s="192">
        <v>160120</v>
      </c>
      <c r="P116" s="192">
        <v>22657</v>
      </c>
      <c r="Q116" s="212">
        <v>56373</v>
      </c>
      <c r="R116" s="212">
        <v>358436</v>
      </c>
      <c r="S116" s="212">
        <v>0</v>
      </c>
    </row>
    <row r="117" spans="1:19" x14ac:dyDescent="0.2">
      <c r="A117" s="190" t="s">
        <v>187</v>
      </c>
      <c r="B117" s="191" t="s">
        <v>404</v>
      </c>
      <c r="C117" s="192">
        <v>1839765</v>
      </c>
      <c r="D117" s="192">
        <v>0</v>
      </c>
      <c r="E117" s="192">
        <v>0</v>
      </c>
      <c r="F117" s="192">
        <v>98542</v>
      </c>
      <c r="G117" s="192">
        <v>427207</v>
      </c>
      <c r="H117" s="192">
        <v>266922</v>
      </c>
      <c r="I117" s="192">
        <v>206149</v>
      </c>
      <c r="J117" s="192">
        <v>86333</v>
      </c>
      <c r="K117" s="192">
        <v>118622</v>
      </c>
      <c r="L117" s="192">
        <v>64252</v>
      </c>
      <c r="M117" s="192">
        <v>82262</v>
      </c>
      <c r="N117" s="192">
        <v>29000</v>
      </c>
      <c r="O117" s="192">
        <v>47000</v>
      </c>
      <c r="P117" s="192">
        <v>5778</v>
      </c>
      <c r="Q117" s="212">
        <v>82276</v>
      </c>
      <c r="R117" s="212">
        <v>313422</v>
      </c>
      <c r="S117" s="212">
        <v>12000</v>
      </c>
    </row>
    <row r="118" spans="1:19" ht="25.5" x14ac:dyDescent="0.2">
      <c r="A118" s="190" t="s">
        <v>279</v>
      </c>
      <c r="B118" s="191" t="s">
        <v>405</v>
      </c>
      <c r="C118" s="192">
        <v>8079719</v>
      </c>
      <c r="D118" s="192">
        <v>0</v>
      </c>
      <c r="E118" s="192">
        <v>48563</v>
      </c>
      <c r="F118" s="192">
        <v>317867</v>
      </c>
      <c r="G118" s="192">
        <v>1644036</v>
      </c>
      <c r="H118" s="192">
        <v>1056524</v>
      </c>
      <c r="I118" s="192">
        <v>1044717</v>
      </c>
      <c r="J118" s="192">
        <v>461533</v>
      </c>
      <c r="K118" s="192">
        <v>810079</v>
      </c>
      <c r="L118" s="192">
        <v>399128</v>
      </c>
      <c r="M118" s="192">
        <v>415348</v>
      </c>
      <c r="N118" s="192">
        <v>0</v>
      </c>
      <c r="O118" s="192">
        <v>218625</v>
      </c>
      <c r="P118" s="192">
        <v>22213</v>
      </c>
      <c r="Q118" s="212">
        <v>98122</v>
      </c>
      <c r="R118" s="212">
        <v>1418464</v>
      </c>
      <c r="S118" s="212">
        <v>124500</v>
      </c>
    </row>
    <row r="119" spans="1:19" ht="25.5" x14ac:dyDescent="0.2">
      <c r="A119" s="190" t="s">
        <v>321</v>
      </c>
      <c r="B119" s="191" t="s">
        <v>406</v>
      </c>
      <c r="C119" s="192">
        <v>431094918</v>
      </c>
      <c r="D119" s="192">
        <v>0</v>
      </c>
      <c r="E119" s="192">
        <v>1278683</v>
      </c>
      <c r="F119" s="192">
        <v>19675237</v>
      </c>
      <c r="G119" s="192">
        <v>103239478</v>
      </c>
      <c r="H119" s="192">
        <v>69229269</v>
      </c>
      <c r="I119" s="192">
        <v>46844320</v>
      </c>
      <c r="J119" s="192">
        <v>21876168</v>
      </c>
      <c r="K119" s="192">
        <v>29153875</v>
      </c>
      <c r="L119" s="192">
        <v>15923219</v>
      </c>
      <c r="M119" s="192">
        <v>22802769</v>
      </c>
      <c r="N119" s="192">
        <v>7916449</v>
      </c>
      <c r="O119" s="192">
        <v>7143622</v>
      </c>
      <c r="P119" s="192">
        <v>1180735</v>
      </c>
      <c r="Q119" s="212">
        <v>7502385</v>
      </c>
      <c r="R119" s="212">
        <v>70104336</v>
      </c>
      <c r="S119" s="212">
        <v>7224373</v>
      </c>
    </row>
    <row r="120" spans="1:19" ht="51" x14ac:dyDescent="0.2">
      <c r="A120" s="190" t="s">
        <v>285</v>
      </c>
      <c r="B120" s="191" t="s">
        <v>455</v>
      </c>
      <c r="C120" s="192">
        <v>2872628</v>
      </c>
      <c r="D120" s="192">
        <v>0</v>
      </c>
      <c r="E120" s="192">
        <v>0</v>
      </c>
      <c r="F120" s="192">
        <v>6921</v>
      </c>
      <c r="G120" s="192">
        <v>755383</v>
      </c>
      <c r="H120" s="192">
        <v>357368</v>
      </c>
      <c r="I120" s="192">
        <v>29675</v>
      </c>
      <c r="J120" s="192">
        <v>7820</v>
      </c>
      <c r="K120" s="192">
        <v>0</v>
      </c>
      <c r="L120" s="192">
        <v>8853</v>
      </c>
      <c r="M120" s="192">
        <v>0</v>
      </c>
      <c r="N120" s="192">
        <v>0</v>
      </c>
      <c r="O120" s="192">
        <v>0</v>
      </c>
      <c r="P120" s="192">
        <v>7687</v>
      </c>
      <c r="Q120" s="212">
        <v>18053</v>
      </c>
      <c r="R120" s="212">
        <v>0</v>
      </c>
      <c r="S120" s="212">
        <v>1680868</v>
      </c>
    </row>
    <row r="121" spans="1:19" ht="25.5" x14ac:dyDescent="0.2">
      <c r="A121" s="190" t="s">
        <v>289</v>
      </c>
      <c r="B121" s="191" t="s">
        <v>331</v>
      </c>
      <c r="C121" s="192">
        <v>8610654</v>
      </c>
      <c r="D121" s="192">
        <v>0</v>
      </c>
      <c r="E121" s="192">
        <v>0</v>
      </c>
      <c r="F121" s="192">
        <v>4519</v>
      </c>
      <c r="G121" s="192">
        <v>836479</v>
      </c>
      <c r="H121" s="192">
        <v>67779</v>
      </c>
      <c r="I121" s="192">
        <v>33890</v>
      </c>
      <c r="J121" s="192">
        <v>33890</v>
      </c>
      <c r="K121" s="192">
        <v>4519</v>
      </c>
      <c r="L121" s="192">
        <v>0</v>
      </c>
      <c r="M121" s="192">
        <v>4519</v>
      </c>
      <c r="N121" s="192">
        <v>0</v>
      </c>
      <c r="O121" s="192">
        <v>6681224</v>
      </c>
      <c r="P121" s="192">
        <v>0</v>
      </c>
      <c r="Q121" s="212">
        <v>4519</v>
      </c>
      <c r="R121" s="212">
        <v>939316</v>
      </c>
      <c r="S121" s="212">
        <v>0</v>
      </c>
    </row>
    <row r="122" spans="1:19" ht="25.5" x14ac:dyDescent="0.2">
      <c r="A122" s="190" t="s">
        <v>287</v>
      </c>
      <c r="B122" s="191" t="s">
        <v>332</v>
      </c>
      <c r="C122" s="192">
        <v>11483282</v>
      </c>
      <c r="D122" s="192">
        <v>0</v>
      </c>
      <c r="E122" s="192">
        <v>0</v>
      </c>
      <c r="F122" s="192">
        <v>11440</v>
      </c>
      <c r="G122" s="192">
        <v>1591862</v>
      </c>
      <c r="H122" s="192">
        <v>425147</v>
      </c>
      <c r="I122" s="192">
        <v>63565</v>
      </c>
      <c r="J122" s="192">
        <v>41710</v>
      </c>
      <c r="K122" s="192">
        <v>4519</v>
      </c>
      <c r="L122" s="192">
        <v>8853</v>
      </c>
      <c r="M122" s="192">
        <v>4519</v>
      </c>
      <c r="N122" s="192">
        <v>0</v>
      </c>
      <c r="O122" s="192">
        <v>6681224</v>
      </c>
      <c r="P122" s="192">
        <v>7687</v>
      </c>
      <c r="Q122" s="212">
        <v>22572</v>
      </c>
      <c r="R122" s="212">
        <v>939316</v>
      </c>
      <c r="S122" s="212">
        <v>1680868</v>
      </c>
    </row>
    <row r="123" spans="1:19" x14ac:dyDescent="0.2">
      <c r="A123" s="196" t="s">
        <v>291</v>
      </c>
      <c r="B123" s="197" t="s">
        <v>333</v>
      </c>
      <c r="C123" s="198">
        <v>442578200</v>
      </c>
      <c r="D123" s="198">
        <v>0</v>
      </c>
      <c r="E123" s="198">
        <v>1278683</v>
      </c>
      <c r="F123" s="198">
        <v>19686677</v>
      </c>
      <c r="G123" s="198">
        <v>104831340</v>
      </c>
      <c r="H123" s="198">
        <v>69654416</v>
      </c>
      <c r="I123" s="198">
        <v>46907885</v>
      </c>
      <c r="J123" s="198">
        <v>21917878</v>
      </c>
      <c r="K123" s="198">
        <v>29158394</v>
      </c>
      <c r="L123" s="198">
        <v>15932072</v>
      </c>
      <c r="M123" s="198">
        <v>22807288</v>
      </c>
      <c r="N123" s="198">
        <v>7916449</v>
      </c>
      <c r="O123" s="198">
        <v>13824846</v>
      </c>
      <c r="P123" s="198">
        <v>1188422</v>
      </c>
      <c r="Q123" s="213">
        <v>7524957</v>
      </c>
      <c r="R123" s="213">
        <v>71043652</v>
      </c>
      <c r="S123" s="213">
        <v>8905241</v>
      </c>
    </row>
    <row r="124" spans="1:19" ht="38.25" x14ac:dyDescent="0.2">
      <c r="A124" s="196" t="s">
        <v>293</v>
      </c>
      <c r="B124" s="197" t="s">
        <v>334</v>
      </c>
      <c r="C124" s="198">
        <v>84147341</v>
      </c>
      <c r="D124" s="198">
        <v>0</v>
      </c>
      <c r="E124" s="198">
        <v>121232</v>
      </c>
      <c r="F124" s="198">
        <v>3750726</v>
      </c>
      <c r="G124" s="198">
        <v>20046447</v>
      </c>
      <c r="H124" s="198">
        <v>13536426</v>
      </c>
      <c r="I124" s="198">
        <v>9020864</v>
      </c>
      <c r="J124" s="198">
        <v>4323118</v>
      </c>
      <c r="K124" s="198">
        <v>5492276</v>
      </c>
      <c r="L124" s="198">
        <v>2958856</v>
      </c>
      <c r="M124" s="198">
        <v>4812313</v>
      </c>
      <c r="N124" s="198">
        <v>1506710</v>
      </c>
      <c r="O124" s="198">
        <v>1322952</v>
      </c>
      <c r="P124" s="198">
        <v>222353</v>
      </c>
      <c r="Q124" s="213">
        <v>1404858</v>
      </c>
      <c r="R124" s="213">
        <v>13888183</v>
      </c>
      <c r="S124" s="213">
        <v>1740027</v>
      </c>
    </row>
    <row r="125" spans="1:19" ht="25.5" x14ac:dyDescent="0.2">
      <c r="A125" s="190" t="s">
        <v>295</v>
      </c>
      <c r="B125" s="191" t="s">
        <v>335</v>
      </c>
      <c r="C125" s="192">
        <v>78940000</v>
      </c>
      <c r="D125" s="192">
        <v>0</v>
      </c>
      <c r="E125" s="192">
        <v>120535</v>
      </c>
      <c r="F125" s="192">
        <v>3572228</v>
      </c>
      <c r="G125" s="192">
        <v>18832622</v>
      </c>
      <c r="H125" s="192">
        <v>12620454</v>
      </c>
      <c r="I125" s="192">
        <v>8480817</v>
      </c>
      <c r="J125" s="192">
        <v>3979132</v>
      </c>
      <c r="K125" s="192">
        <v>5329380</v>
      </c>
      <c r="L125" s="192">
        <v>2882714</v>
      </c>
      <c r="M125" s="192">
        <v>4173513</v>
      </c>
      <c r="N125" s="192">
        <v>1458943</v>
      </c>
      <c r="O125" s="192">
        <v>1296702</v>
      </c>
      <c r="P125" s="192">
        <v>209633</v>
      </c>
      <c r="Q125" s="212">
        <v>1326545</v>
      </c>
      <c r="R125" s="212">
        <v>12931755</v>
      </c>
      <c r="S125" s="212">
        <v>1725027</v>
      </c>
    </row>
    <row r="126" spans="1:19" x14ac:dyDescent="0.2">
      <c r="A126" s="190" t="s">
        <v>297</v>
      </c>
      <c r="B126" s="191" t="s">
        <v>407</v>
      </c>
      <c r="C126" s="192">
        <v>404000</v>
      </c>
      <c r="D126" s="192">
        <v>0</v>
      </c>
      <c r="E126" s="192">
        <v>0</v>
      </c>
      <c r="F126" s="192">
        <v>8080</v>
      </c>
      <c r="G126" s="192">
        <v>121200</v>
      </c>
      <c r="H126" s="192">
        <v>121200</v>
      </c>
      <c r="I126" s="192">
        <v>60600</v>
      </c>
      <c r="J126" s="192">
        <v>60600</v>
      </c>
      <c r="K126" s="192">
        <v>8080</v>
      </c>
      <c r="L126" s="192">
        <v>0</v>
      </c>
      <c r="M126" s="192">
        <v>8080</v>
      </c>
      <c r="N126" s="192">
        <v>0</v>
      </c>
      <c r="O126" s="192">
        <v>0</v>
      </c>
      <c r="P126" s="192">
        <v>0</v>
      </c>
      <c r="Q126" s="212">
        <v>8080</v>
      </c>
      <c r="R126" s="212">
        <v>8080</v>
      </c>
      <c r="S126" s="212">
        <v>0</v>
      </c>
    </row>
    <row r="127" spans="1:19" ht="25.5" x14ac:dyDescent="0.2">
      <c r="A127" s="190" t="s">
        <v>299</v>
      </c>
      <c r="B127" s="191" t="s">
        <v>336</v>
      </c>
      <c r="C127" s="192">
        <v>149000</v>
      </c>
      <c r="D127" s="192">
        <v>0</v>
      </c>
      <c r="E127" s="192">
        <v>0</v>
      </c>
      <c r="F127" s="192">
        <v>2973</v>
      </c>
      <c r="G127" s="192">
        <v>44220</v>
      </c>
      <c r="H127" s="192">
        <v>44284</v>
      </c>
      <c r="I127" s="192">
        <v>22298</v>
      </c>
      <c r="J127" s="192">
        <v>22298</v>
      </c>
      <c r="K127" s="192">
        <v>2973</v>
      </c>
      <c r="L127" s="192">
        <v>0</v>
      </c>
      <c r="M127" s="192">
        <v>4006</v>
      </c>
      <c r="N127" s="192">
        <v>0</v>
      </c>
      <c r="O127" s="192">
        <v>0</v>
      </c>
      <c r="P127" s="192">
        <v>0</v>
      </c>
      <c r="Q127" s="212">
        <v>2973</v>
      </c>
      <c r="R127" s="212">
        <v>2975</v>
      </c>
      <c r="S127" s="212">
        <v>0</v>
      </c>
    </row>
    <row r="128" spans="1:19" x14ac:dyDescent="0.2">
      <c r="A128" s="190" t="s">
        <v>408</v>
      </c>
      <c r="B128" s="191" t="s">
        <v>409</v>
      </c>
      <c r="C128" s="192">
        <v>2753341</v>
      </c>
      <c r="D128" s="192">
        <v>0</v>
      </c>
      <c r="E128" s="192">
        <v>697</v>
      </c>
      <c r="F128" s="192">
        <v>99164</v>
      </c>
      <c r="G128" s="192">
        <v>584399</v>
      </c>
      <c r="H128" s="192">
        <v>438469</v>
      </c>
      <c r="I128" s="192">
        <v>243643</v>
      </c>
      <c r="J128" s="192">
        <v>156859</v>
      </c>
      <c r="K128" s="192">
        <v>16322</v>
      </c>
      <c r="L128" s="192">
        <v>7076</v>
      </c>
      <c r="M128" s="192">
        <v>543387</v>
      </c>
      <c r="N128" s="192">
        <v>14017</v>
      </c>
      <c r="O128" s="192">
        <v>0</v>
      </c>
      <c r="P128" s="192">
        <v>6436</v>
      </c>
      <c r="Q128" s="212">
        <v>31392</v>
      </c>
      <c r="R128" s="212">
        <v>611480</v>
      </c>
      <c r="S128" s="212">
        <v>0</v>
      </c>
    </row>
    <row r="129" spans="1:19" ht="25.5" x14ac:dyDescent="0.2">
      <c r="A129" s="190" t="s">
        <v>337</v>
      </c>
      <c r="B129" s="191" t="s">
        <v>338</v>
      </c>
      <c r="C129" s="192">
        <v>1901000</v>
      </c>
      <c r="D129" s="192">
        <v>0</v>
      </c>
      <c r="E129" s="192">
        <v>0</v>
      </c>
      <c r="F129" s="192">
        <v>68281</v>
      </c>
      <c r="G129" s="192">
        <v>464006</v>
      </c>
      <c r="H129" s="192">
        <v>312019</v>
      </c>
      <c r="I129" s="192">
        <v>213506</v>
      </c>
      <c r="J129" s="192">
        <v>104229</v>
      </c>
      <c r="K129" s="192">
        <v>135521</v>
      </c>
      <c r="L129" s="192">
        <v>69066</v>
      </c>
      <c r="M129" s="192">
        <v>83327</v>
      </c>
      <c r="N129" s="192">
        <v>33750</v>
      </c>
      <c r="O129" s="192">
        <v>26250</v>
      </c>
      <c r="P129" s="192">
        <v>6284</v>
      </c>
      <c r="Q129" s="212">
        <v>35868</v>
      </c>
      <c r="R129" s="212">
        <v>333893</v>
      </c>
      <c r="S129" s="212">
        <v>15000</v>
      </c>
    </row>
    <row r="130" spans="1:19" x14ac:dyDescent="0.2">
      <c r="A130" s="190" t="s">
        <v>189</v>
      </c>
      <c r="B130" s="191" t="s">
        <v>410</v>
      </c>
      <c r="C130" s="192">
        <v>3756171</v>
      </c>
      <c r="D130" s="192">
        <v>0</v>
      </c>
      <c r="E130" s="192">
        <v>0</v>
      </c>
      <c r="F130" s="192">
        <v>85206</v>
      </c>
      <c r="G130" s="192">
        <v>1468943</v>
      </c>
      <c r="H130" s="192">
        <v>932361</v>
      </c>
      <c r="I130" s="192">
        <v>564997</v>
      </c>
      <c r="J130" s="192">
        <v>214416</v>
      </c>
      <c r="K130" s="192">
        <v>157406</v>
      </c>
      <c r="L130" s="192">
        <v>104764</v>
      </c>
      <c r="M130" s="192">
        <v>173606</v>
      </c>
      <c r="N130" s="192">
        <v>49097</v>
      </c>
      <c r="O130" s="192">
        <v>0</v>
      </c>
      <c r="P130" s="192">
        <v>242</v>
      </c>
      <c r="Q130" s="212">
        <v>803</v>
      </c>
      <c r="R130" s="212">
        <v>296</v>
      </c>
      <c r="S130" s="212">
        <v>4034</v>
      </c>
    </row>
    <row r="131" spans="1:19" ht="25.5" x14ac:dyDescent="0.2">
      <c r="A131" s="190" t="s">
        <v>259</v>
      </c>
      <c r="B131" s="191" t="s">
        <v>339</v>
      </c>
      <c r="C131" s="192">
        <v>62058956</v>
      </c>
      <c r="D131" s="192">
        <v>0</v>
      </c>
      <c r="E131" s="192">
        <v>136064</v>
      </c>
      <c r="F131" s="192">
        <v>1754908</v>
      </c>
      <c r="G131" s="192">
        <v>22881568</v>
      </c>
      <c r="H131" s="192">
        <v>12171238</v>
      </c>
      <c r="I131" s="192">
        <v>9180027</v>
      </c>
      <c r="J131" s="192">
        <v>2915775</v>
      </c>
      <c r="K131" s="192">
        <v>1470295</v>
      </c>
      <c r="L131" s="192">
        <v>2391599</v>
      </c>
      <c r="M131" s="192">
        <v>1428405</v>
      </c>
      <c r="N131" s="192">
        <v>365030</v>
      </c>
      <c r="O131" s="192">
        <v>650246</v>
      </c>
      <c r="P131" s="192">
        <v>1611574</v>
      </c>
      <c r="Q131" s="212">
        <v>3909160</v>
      </c>
      <c r="R131" s="212">
        <v>1168505</v>
      </c>
      <c r="S131" s="212">
        <v>24562</v>
      </c>
    </row>
    <row r="132" spans="1:19" x14ac:dyDescent="0.2">
      <c r="A132" s="190" t="s">
        <v>340</v>
      </c>
      <c r="B132" s="191" t="s">
        <v>341</v>
      </c>
      <c r="C132" s="192">
        <v>65815127</v>
      </c>
      <c r="D132" s="192">
        <v>0</v>
      </c>
      <c r="E132" s="192">
        <v>136064</v>
      </c>
      <c r="F132" s="192">
        <v>1840114</v>
      </c>
      <c r="G132" s="192">
        <v>24350511</v>
      </c>
      <c r="H132" s="192">
        <v>13103599</v>
      </c>
      <c r="I132" s="192">
        <v>9745024</v>
      </c>
      <c r="J132" s="192">
        <v>3130191</v>
      </c>
      <c r="K132" s="192">
        <v>1627701</v>
      </c>
      <c r="L132" s="192">
        <v>2496363</v>
      </c>
      <c r="M132" s="192">
        <v>1602011</v>
      </c>
      <c r="N132" s="192">
        <v>414127</v>
      </c>
      <c r="O132" s="192">
        <v>650246</v>
      </c>
      <c r="P132" s="192">
        <v>1611816</v>
      </c>
      <c r="Q132" s="212">
        <v>3909963</v>
      </c>
      <c r="R132" s="212">
        <v>1168801</v>
      </c>
      <c r="S132" s="212">
        <v>28596</v>
      </c>
    </row>
    <row r="133" spans="1:19" ht="25.5" x14ac:dyDescent="0.2">
      <c r="A133" s="190" t="s">
        <v>302</v>
      </c>
      <c r="B133" s="191" t="s">
        <v>342</v>
      </c>
      <c r="C133" s="192">
        <v>4612798</v>
      </c>
      <c r="D133" s="192">
        <v>0</v>
      </c>
      <c r="E133" s="192">
        <v>0</v>
      </c>
      <c r="F133" s="192">
        <v>231416</v>
      </c>
      <c r="G133" s="192">
        <v>1256509</v>
      </c>
      <c r="H133" s="192">
        <v>1100804</v>
      </c>
      <c r="I133" s="192">
        <v>397278</v>
      </c>
      <c r="J133" s="192">
        <v>350942</v>
      </c>
      <c r="K133" s="192">
        <v>180844</v>
      </c>
      <c r="L133" s="192">
        <v>95990</v>
      </c>
      <c r="M133" s="192">
        <v>87731</v>
      </c>
      <c r="N133" s="192">
        <v>48744</v>
      </c>
      <c r="O133" s="192">
        <v>96569</v>
      </c>
      <c r="P133" s="192">
        <v>16204</v>
      </c>
      <c r="Q133" s="212">
        <v>267804</v>
      </c>
      <c r="R133" s="212">
        <v>419408</v>
      </c>
      <c r="S133" s="212">
        <v>62555</v>
      </c>
    </row>
    <row r="134" spans="1:19" ht="25.5" x14ac:dyDescent="0.2">
      <c r="A134" s="190" t="s">
        <v>411</v>
      </c>
      <c r="B134" s="191" t="s">
        <v>412</v>
      </c>
      <c r="C134" s="192">
        <v>1629703</v>
      </c>
      <c r="D134" s="192">
        <v>0</v>
      </c>
      <c r="E134" s="192">
        <v>0</v>
      </c>
      <c r="F134" s="192">
        <v>70281</v>
      </c>
      <c r="G134" s="192">
        <v>279053</v>
      </c>
      <c r="H134" s="192">
        <v>178961</v>
      </c>
      <c r="I134" s="192">
        <v>91191</v>
      </c>
      <c r="J134" s="192">
        <v>53843</v>
      </c>
      <c r="K134" s="192">
        <v>129618</v>
      </c>
      <c r="L134" s="192">
        <v>146613</v>
      </c>
      <c r="M134" s="192">
        <v>89746</v>
      </c>
      <c r="N134" s="192">
        <v>95253</v>
      </c>
      <c r="O134" s="192">
        <v>42867</v>
      </c>
      <c r="P134" s="192">
        <v>3610</v>
      </c>
      <c r="Q134" s="212">
        <v>136007</v>
      </c>
      <c r="R134" s="212">
        <v>250906</v>
      </c>
      <c r="S134" s="212">
        <v>61754</v>
      </c>
    </row>
    <row r="135" spans="1:19" ht="25.5" x14ac:dyDescent="0.2">
      <c r="A135" s="190" t="s">
        <v>191</v>
      </c>
      <c r="B135" s="191" t="s">
        <v>343</v>
      </c>
      <c r="C135" s="192">
        <v>6242501</v>
      </c>
      <c r="D135" s="192">
        <v>0</v>
      </c>
      <c r="E135" s="192">
        <v>0</v>
      </c>
      <c r="F135" s="192">
        <v>301697</v>
      </c>
      <c r="G135" s="192">
        <v>1535562</v>
      </c>
      <c r="H135" s="192">
        <v>1279765</v>
      </c>
      <c r="I135" s="192">
        <v>488469</v>
      </c>
      <c r="J135" s="192">
        <v>404785</v>
      </c>
      <c r="K135" s="192">
        <v>310462</v>
      </c>
      <c r="L135" s="192">
        <v>242603</v>
      </c>
      <c r="M135" s="192">
        <v>177477</v>
      </c>
      <c r="N135" s="192">
        <v>143997</v>
      </c>
      <c r="O135" s="192">
        <v>139436</v>
      </c>
      <c r="P135" s="192">
        <v>19814</v>
      </c>
      <c r="Q135" s="212">
        <v>403811</v>
      </c>
      <c r="R135" s="212">
        <v>670314</v>
      </c>
      <c r="S135" s="212">
        <v>124309</v>
      </c>
    </row>
    <row r="136" spans="1:19" x14ac:dyDescent="0.2">
      <c r="A136" s="190" t="s">
        <v>413</v>
      </c>
      <c r="B136" s="191" t="s">
        <v>414</v>
      </c>
      <c r="C136" s="192">
        <v>18147206</v>
      </c>
      <c r="D136" s="192">
        <v>0</v>
      </c>
      <c r="E136" s="192">
        <v>0</v>
      </c>
      <c r="F136" s="192">
        <v>371119</v>
      </c>
      <c r="G136" s="192">
        <v>4649012</v>
      </c>
      <c r="H136" s="192">
        <v>3422964</v>
      </c>
      <c r="I136" s="192">
        <v>2123567</v>
      </c>
      <c r="J136" s="192">
        <v>2039188</v>
      </c>
      <c r="K136" s="192">
        <v>634768</v>
      </c>
      <c r="L136" s="192">
        <v>1433258</v>
      </c>
      <c r="M136" s="192">
        <v>1447137</v>
      </c>
      <c r="N136" s="192">
        <v>1196923</v>
      </c>
      <c r="O136" s="192">
        <v>436938</v>
      </c>
      <c r="P136" s="192">
        <v>35052</v>
      </c>
      <c r="Q136" s="212">
        <v>158852</v>
      </c>
      <c r="R136" s="212">
        <v>170082</v>
      </c>
      <c r="S136" s="212">
        <v>28346</v>
      </c>
    </row>
    <row r="137" spans="1:19" x14ac:dyDescent="0.2">
      <c r="A137" s="190" t="s">
        <v>415</v>
      </c>
      <c r="B137" s="191" t="s">
        <v>416</v>
      </c>
      <c r="C137" s="192">
        <v>55124266</v>
      </c>
      <c r="D137" s="192">
        <v>0</v>
      </c>
      <c r="E137" s="192">
        <v>0</v>
      </c>
      <c r="F137" s="192">
        <v>32901</v>
      </c>
      <c r="G137" s="192">
        <v>180793</v>
      </c>
      <c r="H137" s="192">
        <v>106203</v>
      </c>
      <c r="I137" s="192">
        <v>51530</v>
      </c>
      <c r="J137" s="192">
        <v>18704</v>
      </c>
      <c r="K137" s="192">
        <v>10559</v>
      </c>
      <c r="L137" s="192">
        <v>37526</v>
      </c>
      <c r="M137" s="192">
        <v>357</v>
      </c>
      <c r="N137" s="192">
        <v>0</v>
      </c>
      <c r="O137" s="192">
        <v>0</v>
      </c>
      <c r="P137" s="192">
        <v>25171</v>
      </c>
      <c r="Q137" s="212">
        <v>54660166</v>
      </c>
      <c r="R137" s="212">
        <v>356</v>
      </c>
      <c r="S137" s="212">
        <v>0</v>
      </c>
    </row>
    <row r="138" spans="1:19" x14ac:dyDescent="0.2">
      <c r="A138" s="190" t="s">
        <v>417</v>
      </c>
      <c r="B138" s="191" t="s">
        <v>418</v>
      </c>
      <c r="C138" s="192">
        <v>8239484</v>
      </c>
      <c r="D138" s="192">
        <v>0</v>
      </c>
      <c r="E138" s="192">
        <v>0</v>
      </c>
      <c r="F138" s="192">
        <v>472</v>
      </c>
      <c r="G138" s="192">
        <v>20760</v>
      </c>
      <c r="H138" s="192">
        <v>18414</v>
      </c>
      <c r="I138" s="192">
        <v>3543</v>
      </c>
      <c r="J138" s="192">
        <v>3543</v>
      </c>
      <c r="K138" s="192">
        <v>472</v>
      </c>
      <c r="L138" s="192">
        <v>0</v>
      </c>
      <c r="M138" s="192">
        <v>772766</v>
      </c>
      <c r="N138" s="192">
        <v>136568</v>
      </c>
      <c r="O138" s="192">
        <v>0</v>
      </c>
      <c r="P138" s="192">
        <v>0</v>
      </c>
      <c r="Q138" s="212">
        <v>472</v>
      </c>
      <c r="R138" s="212">
        <v>474</v>
      </c>
      <c r="S138" s="212">
        <v>7282000</v>
      </c>
    </row>
    <row r="139" spans="1:19" ht="25.5" x14ac:dyDescent="0.2">
      <c r="A139" s="190" t="s">
        <v>419</v>
      </c>
      <c r="B139" s="191" t="s">
        <v>420</v>
      </c>
      <c r="C139" s="192">
        <v>11045705</v>
      </c>
      <c r="D139" s="192">
        <v>0</v>
      </c>
      <c r="E139" s="192">
        <v>0</v>
      </c>
      <c r="F139" s="192">
        <v>127210</v>
      </c>
      <c r="G139" s="192">
        <v>2333239</v>
      </c>
      <c r="H139" s="192">
        <v>1588561</v>
      </c>
      <c r="I139" s="192">
        <v>1188039</v>
      </c>
      <c r="J139" s="192">
        <v>977647</v>
      </c>
      <c r="K139" s="192">
        <v>677210</v>
      </c>
      <c r="L139" s="192">
        <v>1393092</v>
      </c>
      <c r="M139" s="192">
        <v>124940</v>
      </c>
      <c r="N139" s="192">
        <v>2113867</v>
      </c>
      <c r="O139" s="192">
        <v>218733</v>
      </c>
      <c r="P139" s="192">
        <v>2066</v>
      </c>
      <c r="Q139" s="212">
        <v>20420</v>
      </c>
      <c r="R139" s="212">
        <v>102112</v>
      </c>
      <c r="S139" s="212">
        <v>178569</v>
      </c>
    </row>
    <row r="140" spans="1:19" ht="25.5" x14ac:dyDescent="0.2">
      <c r="A140" s="190" t="s">
        <v>344</v>
      </c>
      <c r="B140" s="191" t="s">
        <v>345</v>
      </c>
      <c r="C140" s="192">
        <v>1963339</v>
      </c>
      <c r="D140" s="192">
        <v>0</v>
      </c>
      <c r="E140" s="192">
        <v>0</v>
      </c>
      <c r="F140" s="192">
        <v>0</v>
      </c>
      <c r="G140" s="192">
        <v>1963339</v>
      </c>
      <c r="H140" s="192">
        <v>0</v>
      </c>
      <c r="I140" s="192">
        <v>0</v>
      </c>
      <c r="J140" s="192">
        <v>0</v>
      </c>
      <c r="K140" s="192">
        <v>0</v>
      </c>
      <c r="L140" s="192">
        <v>0</v>
      </c>
      <c r="M140" s="192">
        <v>0</v>
      </c>
      <c r="N140" s="192">
        <v>0</v>
      </c>
      <c r="O140" s="192">
        <v>0</v>
      </c>
      <c r="P140" s="192">
        <v>0</v>
      </c>
      <c r="Q140" s="212">
        <v>0</v>
      </c>
      <c r="R140" s="212">
        <v>0</v>
      </c>
      <c r="S140" s="212">
        <v>0</v>
      </c>
    </row>
    <row r="141" spans="1:19" ht="25.5" x14ac:dyDescent="0.2">
      <c r="A141" s="190" t="s">
        <v>423</v>
      </c>
      <c r="B141" s="191" t="s">
        <v>424</v>
      </c>
      <c r="C141" s="192">
        <v>8863614</v>
      </c>
      <c r="D141" s="192">
        <v>0</v>
      </c>
      <c r="E141" s="192">
        <v>7600</v>
      </c>
      <c r="F141" s="192">
        <v>64882</v>
      </c>
      <c r="G141" s="192">
        <v>2482874</v>
      </c>
      <c r="H141" s="192">
        <v>1626417</v>
      </c>
      <c r="I141" s="192">
        <v>1654919</v>
      </c>
      <c r="J141" s="192">
        <v>721644</v>
      </c>
      <c r="K141" s="192">
        <v>90342</v>
      </c>
      <c r="L141" s="192">
        <v>117787</v>
      </c>
      <c r="M141" s="192">
        <v>592838</v>
      </c>
      <c r="N141" s="192">
        <v>981791</v>
      </c>
      <c r="O141" s="192">
        <v>3400</v>
      </c>
      <c r="P141" s="192">
        <v>18365</v>
      </c>
      <c r="Q141" s="212">
        <v>68523</v>
      </c>
      <c r="R141" s="212">
        <v>430832</v>
      </c>
      <c r="S141" s="212">
        <v>1400</v>
      </c>
    </row>
    <row r="142" spans="1:19" x14ac:dyDescent="0.2">
      <c r="A142" s="190" t="s">
        <v>195</v>
      </c>
      <c r="B142" s="191" t="s">
        <v>346</v>
      </c>
      <c r="C142" s="192">
        <v>30058681</v>
      </c>
      <c r="D142" s="192">
        <v>0</v>
      </c>
      <c r="E142" s="192">
        <v>0</v>
      </c>
      <c r="F142" s="192">
        <v>504829</v>
      </c>
      <c r="G142" s="192">
        <v>5279232</v>
      </c>
      <c r="H142" s="192">
        <v>4260000</v>
      </c>
      <c r="I142" s="192">
        <v>1435603</v>
      </c>
      <c r="J142" s="192">
        <v>1377871</v>
      </c>
      <c r="K142" s="192">
        <v>720394</v>
      </c>
      <c r="L142" s="192">
        <v>1940337</v>
      </c>
      <c r="M142" s="192">
        <v>1983380</v>
      </c>
      <c r="N142" s="192">
        <v>3518810</v>
      </c>
      <c r="O142" s="192">
        <v>395675</v>
      </c>
      <c r="P142" s="192">
        <v>11481</v>
      </c>
      <c r="Q142" s="212">
        <v>435264</v>
      </c>
      <c r="R142" s="212">
        <v>4085367</v>
      </c>
      <c r="S142" s="212">
        <v>4110438</v>
      </c>
    </row>
    <row r="143" spans="1:19" ht="25.5" x14ac:dyDescent="0.2">
      <c r="A143" s="190" t="s">
        <v>348</v>
      </c>
      <c r="B143" s="191" t="s">
        <v>349</v>
      </c>
      <c r="C143" s="192">
        <v>133442295</v>
      </c>
      <c r="D143" s="192">
        <v>0</v>
      </c>
      <c r="E143" s="192">
        <v>7600</v>
      </c>
      <c r="F143" s="192">
        <v>1101413</v>
      </c>
      <c r="G143" s="192">
        <v>16909249</v>
      </c>
      <c r="H143" s="192">
        <v>11022559</v>
      </c>
      <c r="I143" s="192">
        <v>6457201</v>
      </c>
      <c r="J143" s="192">
        <v>5138597</v>
      </c>
      <c r="K143" s="192">
        <v>2133745</v>
      </c>
      <c r="L143" s="192">
        <v>4922000</v>
      </c>
      <c r="M143" s="192">
        <v>4921418</v>
      </c>
      <c r="N143" s="192">
        <v>7947959</v>
      </c>
      <c r="O143" s="192">
        <v>1054746</v>
      </c>
      <c r="P143" s="192">
        <v>92135</v>
      </c>
      <c r="Q143" s="212">
        <v>55343697</v>
      </c>
      <c r="R143" s="212">
        <v>4789223</v>
      </c>
      <c r="S143" s="212">
        <v>11600753</v>
      </c>
    </row>
    <row r="144" spans="1:19" x14ac:dyDescent="0.2">
      <c r="A144" s="190" t="s">
        <v>425</v>
      </c>
      <c r="B144" s="191" t="s">
        <v>426</v>
      </c>
      <c r="C144" s="192">
        <v>284054</v>
      </c>
      <c r="D144" s="192">
        <v>0</v>
      </c>
      <c r="E144" s="192">
        <v>0</v>
      </c>
      <c r="F144" s="192">
        <v>9948</v>
      </c>
      <c r="G144" s="192">
        <v>60051</v>
      </c>
      <c r="H144" s="192">
        <v>51019</v>
      </c>
      <c r="I144" s="192">
        <v>18381</v>
      </c>
      <c r="J144" s="192">
        <v>13049</v>
      </c>
      <c r="K144" s="192">
        <v>54521</v>
      </c>
      <c r="L144" s="192">
        <v>17609</v>
      </c>
      <c r="M144" s="192">
        <v>5384</v>
      </c>
      <c r="N144" s="192">
        <v>4507</v>
      </c>
      <c r="O144" s="192">
        <v>0</v>
      </c>
      <c r="P144" s="192">
        <v>795</v>
      </c>
      <c r="Q144" s="212">
        <v>12662</v>
      </c>
      <c r="R144" s="212">
        <v>34902</v>
      </c>
      <c r="S144" s="212">
        <v>1226</v>
      </c>
    </row>
    <row r="145" spans="1:19" ht="25.5" x14ac:dyDescent="0.2">
      <c r="A145" s="190" t="s">
        <v>427</v>
      </c>
      <c r="B145" s="191" t="s">
        <v>428</v>
      </c>
      <c r="C145" s="192">
        <v>218577</v>
      </c>
      <c r="D145" s="192">
        <v>0</v>
      </c>
      <c r="E145" s="192">
        <v>0</v>
      </c>
      <c r="F145" s="192">
        <v>38186</v>
      </c>
      <c r="G145" s="192">
        <v>62762</v>
      </c>
      <c r="H145" s="192">
        <v>46119</v>
      </c>
      <c r="I145" s="192">
        <v>10605</v>
      </c>
      <c r="J145" s="192">
        <v>10605</v>
      </c>
      <c r="K145" s="192">
        <v>2622</v>
      </c>
      <c r="L145" s="192">
        <v>6233</v>
      </c>
      <c r="M145" s="192">
        <v>14153</v>
      </c>
      <c r="N145" s="192">
        <v>5862</v>
      </c>
      <c r="O145" s="192">
        <v>0</v>
      </c>
      <c r="P145" s="192">
        <v>0</v>
      </c>
      <c r="Q145" s="212">
        <v>1414</v>
      </c>
      <c r="R145" s="212">
        <v>20016</v>
      </c>
      <c r="S145" s="212">
        <v>0</v>
      </c>
    </row>
    <row r="146" spans="1:19" ht="25.5" x14ac:dyDescent="0.2">
      <c r="A146" s="190" t="s">
        <v>429</v>
      </c>
      <c r="B146" s="191" t="s">
        <v>430</v>
      </c>
      <c r="C146" s="192">
        <v>502631</v>
      </c>
      <c r="D146" s="192">
        <v>0</v>
      </c>
      <c r="E146" s="192">
        <v>0</v>
      </c>
      <c r="F146" s="192">
        <v>48134</v>
      </c>
      <c r="G146" s="192">
        <v>122813</v>
      </c>
      <c r="H146" s="192">
        <v>97138</v>
      </c>
      <c r="I146" s="192">
        <v>28986</v>
      </c>
      <c r="J146" s="192">
        <v>23654</v>
      </c>
      <c r="K146" s="192">
        <v>57143</v>
      </c>
      <c r="L146" s="192">
        <v>23842</v>
      </c>
      <c r="M146" s="192">
        <v>19537</v>
      </c>
      <c r="N146" s="192">
        <v>10369</v>
      </c>
      <c r="O146" s="192">
        <v>0</v>
      </c>
      <c r="P146" s="192">
        <v>795</v>
      </c>
      <c r="Q146" s="212">
        <v>14076</v>
      </c>
      <c r="R146" s="212">
        <v>54918</v>
      </c>
      <c r="S146" s="212">
        <v>1226</v>
      </c>
    </row>
    <row r="147" spans="1:19" ht="38.25" x14ac:dyDescent="0.2">
      <c r="A147" s="190" t="s">
        <v>350</v>
      </c>
      <c r="B147" s="191" t="s">
        <v>351</v>
      </c>
      <c r="C147" s="192">
        <v>42599122</v>
      </c>
      <c r="D147" s="192">
        <v>0</v>
      </c>
      <c r="E147" s="192">
        <v>36738</v>
      </c>
      <c r="F147" s="192">
        <v>658579</v>
      </c>
      <c r="G147" s="192">
        <v>8140195</v>
      </c>
      <c r="H147" s="192">
        <v>4710687</v>
      </c>
      <c r="I147" s="192">
        <v>3178389</v>
      </c>
      <c r="J147" s="192">
        <v>1694192</v>
      </c>
      <c r="K147" s="192">
        <v>727176</v>
      </c>
      <c r="L147" s="192">
        <v>1168253</v>
      </c>
      <c r="M147" s="192">
        <v>879915</v>
      </c>
      <c r="N147" s="192">
        <v>1143012</v>
      </c>
      <c r="O147" s="192">
        <v>387631</v>
      </c>
      <c r="P147" s="192">
        <v>353721</v>
      </c>
      <c r="Q147" s="212">
        <v>15786421</v>
      </c>
      <c r="R147" s="212">
        <v>571084</v>
      </c>
      <c r="S147" s="212">
        <v>3163129</v>
      </c>
    </row>
    <row r="148" spans="1:19" ht="25.5" x14ac:dyDescent="0.2">
      <c r="A148" s="190" t="s">
        <v>199</v>
      </c>
      <c r="B148" s="191" t="s">
        <v>352</v>
      </c>
      <c r="C148" s="192">
        <v>216000</v>
      </c>
      <c r="D148" s="192">
        <v>0</v>
      </c>
      <c r="E148" s="192">
        <v>0</v>
      </c>
      <c r="F148" s="192">
        <v>0</v>
      </c>
      <c r="G148" s="192">
        <v>0</v>
      </c>
      <c r="H148" s="192">
        <v>0</v>
      </c>
      <c r="I148" s="192">
        <v>0</v>
      </c>
      <c r="J148" s="192">
        <v>0</v>
      </c>
      <c r="K148" s="192">
        <v>0</v>
      </c>
      <c r="L148" s="192">
        <v>0</v>
      </c>
      <c r="M148" s="192">
        <v>0</v>
      </c>
      <c r="N148" s="192">
        <v>0</v>
      </c>
      <c r="O148" s="192">
        <v>0</v>
      </c>
      <c r="P148" s="192">
        <v>0</v>
      </c>
      <c r="Q148" s="212">
        <v>216000</v>
      </c>
      <c r="R148" s="212">
        <v>0</v>
      </c>
      <c r="S148" s="212">
        <v>0</v>
      </c>
    </row>
    <row r="149" spans="1:19" x14ac:dyDescent="0.2">
      <c r="A149" s="190" t="s">
        <v>353</v>
      </c>
      <c r="B149" s="191" t="s">
        <v>354</v>
      </c>
      <c r="C149" s="192">
        <v>448969</v>
      </c>
      <c r="D149" s="192">
        <v>0</v>
      </c>
      <c r="E149" s="192">
        <v>0</v>
      </c>
      <c r="F149" s="192">
        <v>0</v>
      </c>
      <c r="G149" s="192">
        <v>82165</v>
      </c>
      <c r="H149" s="192">
        <v>30842</v>
      </c>
      <c r="I149" s="192">
        <v>27975</v>
      </c>
      <c r="J149" s="192">
        <v>13987</v>
      </c>
      <c r="K149" s="192">
        <v>13987</v>
      </c>
      <c r="L149" s="192">
        <v>11190</v>
      </c>
      <c r="M149" s="192">
        <v>2798</v>
      </c>
      <c r="N149" s="192">
        <v>0</v>
      </c>
      <c r="O149" s="192">
        <v>142488</v>
      </c>
      <c r="P149" s="192">
        <v>0</v>
      </c>
      <c r="Q149" s="212">
        <v>32861</v>
      </c>
      <c r="R149" s="212">
        <v>65722</v>
      </c>
      <c r="S149" s="212">
        <v>24954</v>
      </c>
    </row>
    <row r="150" spans="1:19" ht="25.5" x14ac:dyDescent="0.2">
      <c r="A150" s="190" t="s">
        <v>355</v>
      </c>
      <c r="B150" s="191" t="s">
        <v>356</v>
      </c>
      <c r="C150" s="192">
        <v>43264091</v>
      </c>
      <c r="D150" s="192">
        <v>0</v>
      </c>
      <c r="E150" s="192">
        <v>36738</v>
      </c>
      <c r="F150" s="192">
        <v>658579</v>
      </c>
      <c r="G150" s="192">
        <v>8222360</v>
      </c>
      <c r="H150" s="192">
        <v>4741529</v>
      </c>
      <c r="I150" s="192">
        <v>3206364</v>
      </c>
      <c r="J150" s="192">
        <v>1708179</v>
      </c>
      <c r="K150" s="192">
        <v>741163</v>
      </c>
      <c r="L150" s="192">
        <v>1179443</v>
      </c>
      <c r="M150" s="192">
        <v>882713</v>
      </c>
      <c r="N150" s="192">
        <v>1143012</v>
      </c>
      <c r="O150" s="192">
        <v>530119</v>
      </c>
      <c r="P150" s="192">
        <v>353721</v>
      </c>
      <c r="Q150" s="212">
        <v>16035282</v>
      </c>
      <c r="R150" s="212">
        <v>636806</v>
      </c>
      <c r="S150" s="212">
        <v>3188083</v>
      </c>
    </row>
    <row r="151" spans="1:19" ht="25.5" x14ac:dyDescent="0.2">
      <c r="A151" s="196" t="s">
        <v>357</v>
      </c>
      <c r="B151" s="197" t="s">
        <v>358</v>
      </c>
      <c r="C151" s="198">
        <v>249266645</v>
      </c>
      <c r="D151" s="198">
        <v>0</v>
      </c>
      <c r="E151" s="198">
        <v>180402</v>
      </c>
      <c r="F151" s="198">
        <v>3949937</v>
      </c>
      <c r="G151" s="198">
        <v>51140495</v>
      </c>
      <c r="H151" s="198">
        <v>30244590</v>
      </c>
      <c r="I151" s="198">
        <v>19926044</v>
      </c>
      <c r="J151" s="198">
        <v>10405406</v>
      </c>
      <c r="K151" s="198">
        <v>4870214</v>
      </c>
      <c r="L151" s="198">
        <v>8864251</v>
      </c>
      <c r="M151" s="198">
        <v>7603156</v>
      </c>
      <c r="N151" s="198">
        <v>9659464</v>
      </c>
      <c r="O151" s="198">
        <v>2374547</v>
      </c>
      <c r="P151" s="198">
        <v>2078281</v>
      </c>
      <c r="Q151" s="213">
        <v>75706829</v>
      </c>
      <c r="R151" s="213">
        <v>7320062</v>
      </c>
      <c r="S151" s="213">
        <v>14942967</v>
      </c>
    </row>
    <row r="152" spans="1:19" ht="25.5" x14ac:dyDescent="0.2">
      <c r="A152" s="190" t="s">
        <v>431</v>
      </c>
      <c r="B152" s="191" t="s">
        <v>432</v>
      </c>
      <c r="C152" s="192">
        <v>723020</v>
      </c>
      <c r="D152" s="192">
        <v>0</v>
      </c>
      <c r="E152" s="192">
        <v>0</v>
      </c>
      <c r="F152" s="192">
        <v>214320</v>
      </c>
      <c r="G152" s="192">
        <v>173409</v>
      </c>
      <c r="H152" s="192">
        <v>106731</v>
      </c>
      <c r="I152" s="192">
        <v>0</v>
      </c>
      <c r="J152" s="192">
        <v>0</v>
      </c>
      <c r="K152" s="192">
        <v>0</v>
      </c>
      <c r="L152" s="192">
        <v>0</v>
      </c>
      <c r="M152" s="192">
        <v>228560</v>
      </c>
      <c r="N152" s="192">
        <v>0</v>
      </c>
      <c r="O152" s="192">
        <v>0</v>
      </c>
      <c r="P152" s="192">
        <v>0</v>
      </c>
      <c r="Q152" s="212">
        <v>0</v>
      </c>
      <c r="R152" s="212">
        <v>0</v>
      </c>
      <c r="S152" s="212">
        <v>0</v>
      </c>
    </row>
    <row r="153" spans="1:19" ht="25.5" x14ac:dyDescent="0.2">
      <c r="A153" s="196" t="s">
        <v>433</v>
      </c>
      <c r="B153" s="197" t="s">
        <v>434</v>
      </c>
      <c r="C153" s="198">
        <v>723020</v>
      </c>
      <c r="D153" s="198">
        <v>0</v>
      </c>
      <c r="E153" s="198">
        <v>0</v>
      </c>
      <c r="F153" s="198">
        <v>214320</v>
      </c>
      <c r="G153" s="198">
        <v>173409</v>
      </c>
      <c r="H153" s="198">
        <v>106731</v>
      </c>
      <c r="I153" s="198">
        <v>0</v>
      </c>
      <c r="J153" s="198">
        <v>0</v>
      </c>
      <c r="K153" s="198">
        <v>0</v>
      </c>
      <c r="L153" s="198">
        <v>0</v>
      </c>
      <c r="M153" s="198">
        <v>228560</v>
      </c>
      <c r="N153" s="198">
        <v>0</v>
      </c>
      <c r="O153" s="198">
        <v>0</v>
      </c>
      <c r="P153" s="198">
        <v>0</v>
      </c>
      <c r="Q153" s="213">
        <v>0</v>
      </c>
      <c r="R153" s="213">
        <v>0</v>
      </c>
      <c r="S153" s="213">
        <v>0</v>
      </c>
    </row>
    <row r="154" spans="1:19" ht="38.25" x14ac:dyDescent="0.2">
      <c r="A154" s="190" t="s">
        <v>359</v>
      </c>
      <c r="B154" s="191" t="s">
        <v>360</v>
      </c>
      <c r="C154" s="192">
        <v>7693079</v>
      </c>
      <c r="D154" s="192">
        <v>7693079</v>
      </c>
      <c r="E154" s="192">
        <v>0</v>
      </c>
      <c r="F154" s="192">
        <v>0</v>
      </c>
      <c r="G154" s="192">
        <v>0</v>
      </c>
      <c r="H154" s="192">
        <v>0</v>
      </c>
      <c r="I154" s="192">
        <v>0</v>
      </c>
      <c r="J154" s="192">
        <v>0</v>
      </c>
      <c r="K154" s="192">
        <v>0</v>
      </c>
      <c r="L154" s="192">
        <v>0</v>
      </c>
      <c r="M154" s="192">
        <v>0</v>
      </c>
      <c r="N154" s="192">
        <v>0</v>
      </c>
      <c r="O154" s="192">
        <v>0</v>
      </c>
      <c r="P154" s="192">
        <v>0</v>
      </c>
      <c r="Q154" s="212">
        <v>0</v>
      </c>
      <c r="R154" s="212">
        <v>0</v>
      </c>
      <c r="S154" s="212">
        <v>0</v>
      </c>
    </row>
    <row r="155" spans="1:19" ht="25.5" x14ac:dyDescent="0.2">
      <c r="A155" s="190" t="s">
        <v>435</v>
      </c>
      <c r="B155" s="191" t="s">
        <v>436</v>
      </c>
      <c r="C155" s="192">
        <v>7693079</v>
      </c>
      <c r="D155" s="192">
        <v>7693079</v>
      </c>
      <c r="E155" s="192">
        <v>0</v>
      </c>
      <c r="F155" s="192">
        <v>0</v>
      </c>
      <c r="G155" s="192">
        <v>0</v>
      </c>
      <c r="H155" s="192">
        <v>0</v>
      </c>
      <c r="I155" s="192">
        <v>0</v>
      </c>
      <c r="J155" s="192">
        <v>0</v>
      </c>
      <c r="K155" s="192">
        <v>0</v>
      </c>
      <c r="L155" s="192">
        <v>0</v>
      </c>
      <c r="M155" s="192">
        <v>0</v>
      </c>
      <c r="N155" s="192">
        <v>0</v>
      </c>
      <c r="O155" s="192">
        <v>0</v>
      </c>
      <c r="P155" s="192">
        <v>0</v>
      </c>
      <c r="Q155" s="212">
        <v>0</v>
      </c>
      <c r="R155" s="212">
        <v>0</v>
      </c>
      <c r="S155" s="212">
        <v>0</v>
      </c>
    </row>
    <row r="156" spans="1:19" ht="38.25" x14ac:dyDescent="0.2">
      <c r="A156" s="196" t="s">
        <v>365</v>
      </c>
      <c r="B156" s="197" t="s">
        <v>366</v>
      </c>
      <c r="C156" s="198">
        <v>7693079</v>
      </c>
      <c r="D156" s="198">
        <v>7693079</v>
      </c>
      <c r="E156" s="198">
        <v>0</v>
      </c>
      <c r="F156" s="198">
        <v>0</v>
      </c>
      <c r="G156" s="198">
        <v>0</v>
      </c>
      <c r="H156" s="198">
        <v>0</v>
      </c>
      <c r="I156" s="198">
        <v>0</v>
      </c>
      <c r="J156" s="198">
        <v>0</v>
      </c>
      <c r="K156" s="198">
        <v>0</v>
      </c>
      <c r="L156" s="198">
        <v>0</v>
      </c>
      <c r="M156" s="198">
        <v>0</v>
      </c>
      <c r="N156" s="198">
        <v>0</v>
      </c>
      <c r="O156" s="198">
        <v>0</v>
      </c>
      <c r="P156" s="198">
        <v>0</v>
      </c>
      <c r="Q156" s="213">
        <v>0</v>
      </c>
      <c r="R156" s="213">
        <v>0</v>
      </c>
      <c r="S156" s="213">
        <v>0</v>
      </c>
    </row>
    <row r="157" spans="1:19" ht="25.5" x14ac:dyDescent="0.2">
      <c r="A157" s="190" t="s">
        <v>437</v>
      </c>
      <c r="B157" s="191" t="s">
        <v>438</v>
      </c>
      <c r="C157" s="192">
        <v>381795</v>
      </c>
      <c r="D157" s="192">
        <v>0</v>
      </c>
      <c r="E157" s="192">
        <v>0</v>
      </c>
      <c r="F157" s="192">
        <v>0</v>
      </c>
      <c r="G157" s="192">
        <v>175284</v>
      </c>
      <c r="H157" s="192">
        <v>0</v>
      </c>
      <c r="I157" s="192">
        <v>0</v>
      </c>
      <c r="J157" s="192">
        <v>0</v>
      </c>
      <c r="K157" s="192">
        <v>103255</v>
      </c>
      <c r="L157" s="192">
        <v>0</v>
      </c>
      <c r="M157" s="192">
        <v>0</v>
      </c>
      <c r="N157" s="192">
        <v>0</v>
      </c>
      <c r="O157" s="192">
        <v>0</v>
      </c>
      <c r="P157" s="192">
        <v>0</v>
      </c>
      <c r="Q157" s="212">
        <v>0</v>
      </c>
      <c r="R157" s="212">
        <v>103256</v>
      </c>
      <c r="S157" s="212">
        <v>0</v>
      </c>
    </row>
    <row r="158" spans="1:19" ht="25.5" x14ac:dyDescent="0.2">
      <c r="A158" s="190" t="s">
        <v>369</v>
      </c>
      <c r="B158" s="191" t="s">
        <v>370</v>
      </c>
      <c r="C158" s="192">
        <v>1622140</v>
      </c>
      <c r="D158" s="192">
        <v>0</v>
      </c>
      <c r="E158" s="192">
        <v>0</v>
      </c>
      <c r="F158" s="192">
        <v>0</v>
      </c>
      <c r="G158" s="192">
        <v>424647</v>
      </c>
      <c r="H158" s="192">
        <v>0</v>
      </c>
      <c r="I158" s="192">
        <v>125784</v>
      </c>
      <c r="J158" s="192">
        <v>0</v>
      </c>
      <c r="K158" s="192">
        <v>127420</v>
      </c>
      <c r="L158" s="192">
        <v>0</v>
      </c>
      <c r="M158" s="192">
        <v>22317</v>
      </c>
      <c r="N158" s="192">
        <v>794552</v>
      </c>
      <c r="O158" s="192">
        <v>0</v>
      </c>
      <c r="P158" s="192">
        <v>0</v>
      </c>
      <c r="Q158" s="212">
        <v>0</v>
      </c>
      <c r="R158" s="212">
        <v>127420</v>
      </c>
      <c r="S158" s="212">
        <v>0</v>
      </c>
    </row>
    <row r="159" spans="1:19" ht="25.5" x14ac:dyDescent="0.2">
      <c r="A159" s="190" t="s">
        <v>371</v>
      </c>
      <c r="B159" s="191" t="s">
        <v>372</v>
      </c>
      <c r="C159" s="192">
        <v>10029074</v>
      </c>
      <c r="D159" s="192">
        <v>0</v>
      </c>
      <c r="E159" s="192">
        <v>0</v>
      </c>
      <c r="F159" s="192">
        <v>20069</v>
      </c>
      <c r="G159" s="192">
        <v>5652196</v>
      </c>
      <c r="H159" s="192">
        <v>0</v>
      </c>
      <c r="I159" s="192">
        <v>1763680</v>
      </c>
      <c r="J159" s="192">
        <v>0</v>
      </c>
      <c r="K159" s="192">
        <v>288902</v>
      </c>
      <c r="L159" s="192">
        <v>0</v>
      </c>
      <c r="M159" s="192">
        <v>1355905</v>
      </c>
      <c r="N159" s="192">
        <v>480596</v>
      </c>
      <c r="O159" s="192">
        <v>0</v>
      </c>
      <c r="P159" s="192">
        <v>0</v>
      </c>
      <c r="Q159" s="212">
        <v>0</v>
      </c>
      <c r="R159" s="212">
        <v>382167</v>
      </c>
      <c r="S159" s="212">
        <v>85559</v>
      </c>
    </row>
    <row r="160" spans="1:19" ht="38.25" x14ac:dyDescent="0.2">
      <c r="A160" s="190" t="s">
        <v>373</v>
      </c>
      <c r="B160" s="191" t="s">
        <v>374</v>
      </c>
      <c r="C160" s="192">
        <v>2801011</v>
      </c>
      <c r="D160" s="192">
        <v>0</v>
      </c>
      <c r="E160" s="192">
        <v>0</v>
      </c>
      <c r="F160" s="192">
        <v>5419</v>
      </c>
      <c r="G160" s="192">
        <v>1456142</v>
      </c>
      <c r="H160" s="192">
        <v>0</v>
      </c>
      <c r="I160" s="192">
        <v>387441</v>
      </c>
      <c r="J160" s="192">
        <v>0</v>
      </c>
      <c r="K160" s="192">
        <v>126989</v>
      </c>
      <c r="L160" s="192">
        <v>0</v>
      </c>
      <c r="M160" s="192">
        <v>372120</v>
      </c>
      <c r="N160" s="192">
        <v>294233</v>
      </c>
      <c r="O160" s="192">
        <v>0</v>
      </c>
      <c r="P160" s="192">
        <v>0</v>
      </c>
      <c r="Q160" s="212">
        <v>0</v>
      </c>
      <c r="R160" s="212">
        <v>135566</v>
      </c>
      <c r="S160" s="212">
        <v>23101</v>
      </c>
    </row>
    <row r="161" spans="1:19" ht="25.5" x14ac:dyDescent="0.2">
      <c r="A161" s="196" t="s">
        <v>375</v>
      </c>
      <c r="B161" s="197" t="s">
        <v>376</v>
      </c>
      <c r="C161" s="198">
        <v>14834020</v>
      </c>
      <c r="D161" s="198">
        <v>0</v>
      </c>
      <c r="E161" s="198">
        <v>0</v>
      </c>
      <c r="F161" s="198">
        <v>25488</v>
      </c>
      <c r="G161" s="198">
        <v>7708269</v>
      </c>
      <c r="H161" s="198">
        <v>0</v>
      </c>
      <c r="I161" s="198">
        <v>2276905</v>
      </c>
      <c r="J161" s="198">
        <v>0</v>
      </c>
      <c r="K161" s="198">
        <v>646566</v>
      </c>
      <c r="L161" s="198">
        <v>0</v>
      </c>
      <c r="M161" s="198">
        <v>1750342</v>
      </c>
      <c r="N161" s="198">
        <v>1569381</v>
      </c>
      <c r="O161" s="198">
        <v>0</v>
      </c>
      <c r="P161" s="198">
        <v>0</v>
      </c>
      <c r="Q161" s="213">
        <v>0</v>
      </c>
      <c r="R161" s="213">
        <v>748409</v>
      </c>
      <c r="S161" s="213">
        <v>108660</v>
      </c>
    </row>
    <row r="162" spans="1:19" x14ac:dyDescent="0.2">
      <c r="A162" s="190" t="s">
        <v>377</v>
      </c>
      <c r="B162" s="191" t="s">
        <v>378</v>
      </c>
      <c r="C162" s="192">
        <v>10018523</v>
      </c>
      <c r="D162" s="192">
        <v>0</v>
      </c>
      <c r="E162" s="192">
        <v>0</v>
      </c>
      <c r="F162" s="192">
        <v>0</v>
      </c>
      <c r="G162" s="192">
        <v>0</v>
      </c>
      <c r="H162" s="192">
        <v>0</v>
      </c>
      <c r="I162" s="192">
        <v>4895669</v>
      </c>
      <c r="J162" s="192">
        <v>0</v>
      </c>
      <c r="K162" s="192">
        <v>0</v>
      </c>
      <c r="L162" s="192">
        <v>0</v>
      </c>
      <c r="M162" s="192">
        <v>5122854</v>
      </c>
      <c r="N162" s="192">
        <v>0</v>
      </c>
      <c r="O162" s="192">
        <v>0</v>
      </c>
      <c r="P162" s="192">
        <v>0</v>
      </c>
      <c r="Q162" s="212">
        <v>0</v>
      </c>
      <c r="R162" s="212">
        <v>0</v>
      </c>
      <c r="S162" s="212">
        <v>0</v>
      </c>
    </row>
    <row r="163" spans="1:19" ht="25.5" x14ac:dyDescent="0.2">
      <c r="A163" s="190" t="s">
        <v>379</v>
      </c>
      <c r="B163" s="191" t="s">
        <v>380</v>
      </c>
      <c r="C163" s="192">
        <v>2705001</v>
      </c>
      <c r="D163" s="192">
        <v>0</v>
      </c>
      <c r="E163" s="192">
        <v>0</v>
      </c>
      <c r="F163" s="192">
        <v>0</v>
      </c>
      <c r="G163" s="192">
        <v>0</v>
      </c>
      <c r="H163" s="192">
        <v>0</v>
      </c>
      <c r="I163" s="192">
        <v>1321830</v>
      </c>
      <c r="J163" s="192">
        <v>0</v>
      </c>
      <c r="K163" s="192">
        <v>0</v>
      </c>
      <c r="L163" s="192">
        <v>0</v>
      </c>
      <c r="M163" s="192">
        <v>1383171</v>
      </c>
      <c r="N163" s="192">
        <v>0</v>
      </c>
      <c r="O163" s="192">
        <v>0</v>
      </c>
      <c r="P163" s="192">
        <v>0</v>
      </c>
      <c r="Q163" s="212">
        <v>0</v>
      </c>
      <c r="R163" s="212">
        <v>0</v>
      </c>
      <c r="S163" s="212">
        <v>0</v>
      </c>
    </row>
    <row r="164" spans="1:19" x14ac:dyDescent="0.2">
      <c r="A164" s="196" t="s">
        <v>381</v>
      </c>
      <c r="B164" s="197" t="s">
        <v>382</v>
      </c>
      <c r="C164" s="198">
        <v>12723524</v>
      </c>
      <c r="D164" s="198">
        <v>0</v>
      </c>
      <c r="E164" s="198">
        <v>0</v>
      </c>
      <c r="F164" s="198">
        <v>0</v>
      </c>
      <c r="G164" s="198">
        <v>0</v>
      </c>
      <c r="H164" s="198">
        <v>0</v>
      </c>
      <c r="I164" s="198">
        <v>6217499</v>
      </c>
      <c r="J164" s="198">
        <v>0</v>
      </c>
      <c r="K164" s="198">
        <v>0</v>
      </c>
      <c r="L164" s="198">
        <v>0</v>
      </c>
      <c r="M164" s="198">
        <v>6506025</v>
      </c>
      <c r="N164" s="198">
        <v>0</v>
      </c>
      <c r="O164" s="198">
        <v>0</v>
      </c>
      <c r="P164" s="198">
        <v>0</v>
      </c>
      <c r="Q164" s="213">
        <v>0</v>
      </c>
      <c r="R164" s="213">
        <v>0</v>
      </c>
      <c r="S164" s="213">
        <v>0</v>
      </c>
    </row>
    <row r="165" spans="1:19" ht="38.25" x14ac:dyDescent="0.2">
      <c r="A165" s="196" t="s">
        <v>383</v>
      </c>
      <c r="B165" s="197" t="s">
        <v>384</v>
      </c>
      <c r="C165" s="198">
        <v>811965829</v>
      </c>
      <c r="D165" s="198">
        <v>7693079</v>
      </c>
      <c r="E165" s="198">
        <v>1580317</v>
      </c>
      <c r="F165" s="198">
        <v>27627148</v>
      </c>
      <c r="G165" s="198">
        <v>183899960</v>
      </c>
      <c r="H165" s="198">
        <v>113542163</v>
      </c>
      <c r="I165" s="198">
        <v>84349197</v>
      </c>
      <c r="J165" s="198">
        <v>36646402</v>
      </c>
      <c r="K165" s="198">
        <v>40167450</v>
      </c>
      <c r="L165" s="198">
        <v>27755179</v>
      </c>
      <c r="M165" s="198">
        <v>43707684</v>
      </c>
      <c r="N165" s="198">
        <v>20652004</v>
      </c>
      <c r="O165" s="198">
        <v>17522345</v>
      </c>
      <c r="P165" s="198">
        <v>3489056</v>
      </c>
      <c r="Q165" s="213">
        <v>84636644</v>
      </c>
      <c r="R165" s="213">
        <v>93000306</v>
      </c>
      <c r="S165" s="213">
        <v>25696895</v>
      </c>
    </row>
    <row r="166" spans="1:19" ht="25.5" x14ac:dyDescent="0.2">
      <c r="A166" s="199" t="s">
        <v>391</v>
      </c>
      <c r="B166" s="200" t="s">
        <v>392</v>
      </c>
      <c r="C166" s="201">
        <v>811965829</v>
      </c>
      <c r="D166" s="201">
        <v>7693079</v>
      </c>
      <c r="E166" s="201">
        <v>1580317</v>
      </c>
      <c r="F166" s="201">
        <v>27627148</v>
      </c>
      <c r="G166" s="201">
        <v>183899960</v>
      </c>
      <c r="H166" s="201">
        <v>113542163</v>
      </c>
      <c r="I166" s="201">
        <v>84349197</v>
      </c>
      <c r="J166" s="201">
        <v>36646402</v>
      </c>
      <c r="K166" s="201">
        <v>40167450</v>
      </c>
      <c r="L166" s="201">
        <v>27755179</v>
      </c>
      <c r="M166" s="201">
        <v>43707684</v>
      </c>
      <c r="N166" s="201">
        <v>20652004</v>
      </c>
      <c r="O166" s="201">
        <v>17522345</v>
      </c>
      <c r="P166" s="201">
        <v>3489056</v>
      </c>
      <c r="Q166" s="213">
        <v>84636644</v>
      </c>
      <c r="R166" s="213">
        <v>93000306</v>
      </c>
      <c r="S166" s="213">
        <v>25696895</v>
      </c>
    </row>
  </sheetData>
  <mergeCells count="8">
    <mergeCell ref="A108:C108"/>
    <mergeCell ref="A109:S109"/>
    <mergeCell ref="B2:I2"/>
    <mergeCell ref="B3:I3"/>
    <mergeCell ref="B4:I4"/>
    <mergeCell ref="B5:I5"/>
    <mergeCell ref="A8:H8"/>
    <mergeCell ref="A50:G50"/>
  </mergeCells>
  <pageMargins left="0.7" right="0.7" top="0.75" bottom="0.75" header="0.3" footer="0.3"/>
  <pageSetup paperSize="8" scale="51" orientation="landscape" r:id="rId1"/>
  <rowBreaks count="2" manualBreakCount="2">
    <brk id="47" max="16383" man="1"/>
    <brk id="10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3"/>
  <dimension ref="A1:Q84"/>
  <sheetViews>
    <sheetView view="pageBreakPreview" topLeftCell="C1" zoomScale="60" zoomScaleNormal="100" workbookViewId="0">
      <selection activeCell="S80" sqref="S80"/>
    </sheetView>
  </sheetViews>
  <sheetFormatPr defaultColWidth="9" defaultRowHeight="24.95" customHeight="1" x14ac:dyDescent="0.2"/>
  <cols>
    <col min="1" max="1" width="9" style="172"/>
    <col min="2" max="2" width="35.875" style="172" customWidth="1"/>
    <col min="3" max="8" width="15.625" style="172" customWidth="1"/>
    <col min="9" max="9" width="13.25" style="172" bestFit="1" customWidth="1"/>
    <col min="10" max="10" width="12.25" style="172" bestFit="1" customWidth="1"/>
    <col min="11" max="11" width="13.25" style="172" bestFit="1" customWidth="1"/>
    <col min="12" max="13" width="12.25" style="172" bestFit="1" customWidth="1"/>
    <col min="14" max="14" width="10.875" style="172" bestFit="1" customWidth="1"/>
    <col min="15" max="15" width="13.25" style="172" bestFit="1" customWidth="1"/>
    <col min="16" max="16" width="11.125" style="172" customWidth="1"/>
    <col min="17" max="17" width="11" style="172" customWidth="1"/>
    <col min="18" max="16384" width="9" style="172"/>
  </cols>
  <sheetData>
    <row r="1" spans="1:9" ht="24.95" customHeight="1" x14ac:dyDescent="0.2">
      <c r="H1" s="172" t="s">
        <v>594</v>
      </c>
    </row>
    <row r="2" spans="1:9" ht="24.95" customHeight="1" x14ac:dyDescent="0.25">
      <c r="B2" s="289" t="s">
        <v>0</v>
      </c>
      <c r="C2" s="289"/>
      <c r="D2" s="289"/>
      <c r="E2" s="289"/>
      <c r="F2" s="289"/>
      <c r="G2" s="289"/>
      <c r="H2" s="289"/>
      <c r="I2" s="289"/>
    </row>
    <row r="3" spans="1:9" ht="24.95" customHeight="1" x14ac:dyDescent="0.25">
      <c r="B3" s="289" t="s">
        <v>171</v>
      </c>
      <c r="C3" s="289"/>
      <c r="D3" s="289"/>
      <c r="E3" s="289"/>
      <c r="F3" s="289"/>
      <c r="G3" s="289"/>
      <c r="H3" s="289"/>
      <c r="I3" s="289"/>
    </row>
    <row r="4" spans="1:9" ht="24.95" customHeight="1" x14ac:dyDescent="0.25">
      <c r="B4" s="289" t="s">
        <v>172</v>
      </c>
      <c r="C4" s="289"/>
      <c r="D4" s="289"/>
      <c r="E4" s="289"/>
      <c r="F4" s="289"/>
      <c r="G4" s="289"/>
      <c r="H4" s="289"/>
      <c r="I4" s="289"/>
    </row>
    <row r="5" spans="1:9" ht="24.95" customHeight="1" x14ac:dyDescent="0.25">
      <c r="B5" s="289" t="s">
        <v>456</v>
      </c>
      <c r="C5" s="289"/>
      <c r="D5" s="289"/>
      <c r="E5" s="289"/>
      <c r="F5" s="289"/>
      <c r="G5" s="289"/>
      <c r="H5" s="289"/>
      <c r="I5" s="289"/>
    </row>
    <row r="7" spans="1:9" ht="24.95" customHeight="1" x14ac:dyDescent="0.25">
      <c r="A7" s="184" t="s">
        <v>0</v>
      </c>
    </row>
    <row r="8" spans="1:9" ht="24.95" customHeight="1" x14ac:dyDescent="0.2">
      <c r="A8" s="317" t="s">
        <v>457</v>
      </c>
      <c r="B8" s="292"/>
      <c r="C8" s="292"/>
      <c r="D8" s="292"/>
      <c r="E8" s="292"/>
      <c r="F8" s="292"/>
      <c r="G8" s="292"/>
      <c r="H8" s="292"/>
    </row>
    <row r="9" spans="1:9" ht="163.5" customHeight="1" x14ac:dyDescent="0.2">
      <c r="A9" s="186" t="s">
        <v>178</v>
      </c>
      <c r="B9" s="186" t="s">
        <v>5</v>
      </c>
      <c r="C9" s="186" t="s">
        <v>49</v>
      </c>
      <c r="D9" s="186" t="s">
        <v>326</v>
      </c>
      <c r="E9" s="186" t="s">
        <v>327</v>
      </c>
      <c r="F9" s="186" t="s">
        <v>329</v>
      </c>
      <c r="G9" s="186" t="s">
        <v>443</v>
      </c>
      <c r="H9" s="186" t="s">
        <v>330</v>
      </c>
    </row>
    <row r="10" spans="1:9" ht="24.95" customHeight="1" x14ac:dyDescent="0.2">
      <c r="A10" s="190" t="s">
        <v>302</v>
      </c>
      <c r="B10" s="191" t="s">
        <v>458</v>
      </c>
      <c r="C10" s="192">
        <v>778491753</v>
      </c>
      <c r="D10" s="192">
        <v>2884923</v>
      </c>
      <c r="E10" s="192">
        <v>775606830</v>
      </c>
      <c r="F10" s="192">
        <v>0</v>
      </c>
      <c r="G10" s="192">
        <v>0</v>
      </c>
      <c r="H10" s="192">
        <v>0</v>
      </c>
    </row>
    <row r="11" spans="1:9" ht="24.95" customHeight="1" x14ac:dyDescent="0.2">
      <c r="A11" s="190" t="s">
        <v>415</v>
      </c>
      <c r="B11" s="191" t="s">
        <v>459</v>
      </c>
      <c r="C11" s="192">
        <v>9995600</v>
      </c>
      <c r="D11" s="192">
        <v>0</v>
      </c>
      <c r="E11" s="192">
        <v>9995600</v>
      </c>
      <c r="F11" s="192">
        <v>0</v>
      </c>
      <c r="G11" s="192">
        <v>0</v>
      </c>
      <c r="H11" s="192">
        <v>0</v>
      </c>
    </row>
    <row r="12" spans="1:9" ht="24.95" customHeight="1" x14ac:dyDescent="0.2">
      <c r="A12" s="190" t="s">
        <v>419</v>
      </c>
      <c r="B12" s="191" t="s">
        <v>460</v>
      </c>
      <c r="C12" s="192">
        <v>760616332</v>
      </c>
      <c r="D12" s="192">
        <v>2884923</v>
      </c>
      <c r="E12" s="192">
        <v>757731409</v>
      </c>
      <c r="F12" s="192">
        <v>0</v>
      </c>
      <c r="G12" s="192">
        <v>0</v>
      </c>
      <c r="H12" s="192">
        <v>0</v>
      </c>
    </row>
    <row r="13" spans="1:9" ht="24.95" customHeight="1" x14ac:dyDescent="0.2">
      <c r="A13" s="190" t="s">
        <v>344</v>
      </c>
      <c r="B13" s="191" t="s">
        <v>461</v>
      </c>
      <c r="C13" s="192">
        <v>7879821</v>
      </c>
      <c r="D13" s="192">
        <v>0</v>
      </c>
      <c r="E13" s="192">
        <v>7879821</v>
      </c>
      <c r="F13" s="192">
        <v>0</v>
      </c>
      <c r="G13" s="192">
        <v>0</v>
      </c>
      <c r="H13" s="192">
        <v>0</v>
      </c>
    </row>
    <row r="14" spans="1:9" ht="24.95" customHeight="1" x14ac:dyDescent="0.2">
      <c r="A14" s="196" t="s">
        <v>195</v>
      </c>
      <c r="B14" s="197" t="s">
        <v>462</v>
      </c>
      <c r="C14" s="198">
        <v>778491753</v>
      </c>
      <c r="D14" s="198">
        <v>2884923</v>
      </c>
      <c r="E14" s="198">
        <v>775606830</v>
      </c>
      <c r="F14" s="198">
        <v>0</v>
      </c>
      <c r="G14" s="198">
        <v>0</v>
      </c>
      <c r="H14" s="198">
        <v>0</v>
      </c>
    </row>
    <row r="15" spans="1:9" ht="24.95" customHeight="1" x14ac:dyDescent="0.2">
      <c r="A15" s="190" t="s">
        <v>463</v>
      </c>
      <c r="B15" s="191" t="s">
        <v>464</v>
      </c>
      <c r="C15" s="192">
        <v>28229276</v>
      </c>
      <c r="D15" s="192">
        <v>0</v>
      </c>
      <c r="E15" s="192">
        <v>0</v>
      </c>
      <c r="F15" s="192">
        <v>0</v>
      </c>
      <c r="G15" s="192">
        <v>0</v>
      </c>
      <c r="H15" s="192">
        <v>28229276</v>
      </c>
    </row>
    <row r="16" spans="1:9" ht="24.95" customHeight="1" x14ac:dyDescent="0.2">
      <c r="A16" s="190" t="s">
        <v>465</v>
      </c>
      <c r="B16" s="191" t="s">
        <v>466</v>
      </c>
      <c r="C16" s="192">
        <v>28229276</v>
      </c>
      <c r="D16" s="192">
        <v>0</v>
      </c>
      <c r="E16" s="192">
        <v>0</v>
      </c>
      <c r="F16" s="192">
        <v>0</v>
      </c>
      <c r="G16" s="192">
        <v>0</v>
      </c>
      <c r="H16" s="192">
        <v>28229276</v>
      </c>
    </row>
    <row r="17" spans="1:8" ht="24.95" customHeight="1" x14ac:dyDescent="0.2">
      <c r="A17" s="196" t="s">
        <v>467</v>
      </c>
      <c r="B17" s="197" t="s">
        <v>468</v>
      </c>
      <c r="C17" s="198">
        <v>28229276</v>
      </c>
      <c r="D17" s="198">
        <v>0</v>
      </c>
      <c r="E17" s="198">
        <v>0</v>
      </c>
      <c r="F17" s="198">
        <v>0</v>
      </c>
      <c r="G17" s="198">
        <v>0</v>
      </c>
      <c r="H17" s="198">
        <v>28229276</v>
      </c>
    </row>
    <row r="18" spans="1:8" ht="24.95" customHeight="1" x14ac:dyDescent="0.2">
      <c r="A18" s="190" t="s">
        <v>365</v>
      </c>
      <c r="B18" s="191" t="s">
        <v>469</v>
      </c>
      <c r="C18" s="192">
        <v>1020262</v>
      </c>
      <c r="D18" s="192">
        <v>1020262</v>
      </c>
      <c r="E18" s="192">
        <v>0</v>
      </c>
      <c r="F18" s="192">
        <v>0</v>
      </c>
      <c r="G18" s="192">
        <v>0</v>
      </c>
      <c r="H18" s="192">
        <v>0</v>
      </c>
    </row>
    <row r="19" spans="1:8" ht="24.95" customHeight="1" x14ac:dyDescent="0.2">
      <c r="A19" s="190" t="s">
        <v>437</v>
      </c>
      <c r="B19" s="191" t="s">
        <v>470</v>
      </c>
      <c r="C19" s="192">
        <v>1020262</v>
      </c>
      <c r="D19" s="192">
        <v>1020262</v>
      </c>
      <c r="E19" s="192">
        <v>0</v>
      </c>
      <c r="F19" s="192">
        <v>0</v>
      </c>
      <c r="G19" s="192">
        <v>0</v>
      </c>
      <c r="H19" s="192">
        <v>0</v>
      </c>
    </row>
    <row r="20" spans="1:8" ht="24.95" customHeight="1" x14ac:dyDescent="0.2">
      <c r="A20" s="190" t="s">
        <v>375</v>
      </c>
      <c r="B20" s="191" t="s">
        <v>471</v>
      </c>
      <c r="C20" s="192">
        <v>8610219</v>
      </c>
      <c r="D20" s="192">
        <v>0</v>
      </c>
      <c r="E20" s="192">
        <v>0</v>
      </c>
      <c r="F20" s="192">
        <v>0</v>
      </c>
      <c r="G20" s="192">
        <v>8610219</v>
      </c>
      <c r="H20" s="192">
        <v>0</v>
      </c>
    </row>
    <row r="21" spans="1:8" ht="24.95" customHeight="1" x14ac:dyDescent="0.2">
      <c r="A21" s="190" t="s">
        <v>377</v>
      </c>
      <c r="B21" s="191" t="s">
        <v>472</v>
      </c>
      <c r="C21" s="192">
        <v>222721</v>
      </c>
      <c r="D21" s="192">
        <v>222721</v>
      </c>
      <c r="E21" s="192">
        <v>0</v>
      </c>
      <c r="F21" s="192">
        <v>0</v>
      </c>
      <c r="G21" s="192">
        <v>0</v>
      </c>
      <c r="H21" s="192">
        <v>0</v>
      </c>
    </row>
    <row r="22" spans="1:8" ht="24.95" customHeight="1" x14ac:dyDescent="0.2">
      <c r="A22" s="190" t="s">
        <v>473</v>
      </c>
      <c r="B22" s="191" t="s">
        <v>474</v>
      </c>
      <c r="C22" s="192">
        <v>68</v>
      </c>
      <c r="D22" s="192">
        <v>68</v>
      </c>
      <c r="E22" s="192">
        <v>0</v>
      </c>
      <c r="F22" s="192">
        <v>0</v>
      </c>
      <c r="G22" s="192">
        <v>0</v>
      </c>
      <c r="H22" s="192">
        <v>0</v>
      </c>
    </row>
    <row r="23" spans="1:8" ht="24.95" customHeight="1" x14ac:dyDescent="0.2">
      <c r="A23" s="190" t="s">
        <v>475</v>
      </c>
      <c r="B23" s="191" t="s">
        <v>476</v>
      </c>
      <c r="C23" s="192">
        <v>68</v>
      </c>
      <c r="D23" s="192">
        <v>68</v>
      </c>
      <c r="E23" s="192">
        <v>0</v>
      </c>
      <c r="F23" s="192">
        <v>0</v>
      </c>
      <c r="G23" s="192">
        <v>0</v>
      </c>
      <c r="H23" s="192">
        <v>0</v>
      </c>
    </row>
    <row r="24" spans="1:8" ht="24.95" customHeight="1" x14ac:dyDescent="0.2">
      <c r="A24" s="190" t="s">
        <v>477</v>
      </c>
      <c r="B24" s="191" t="s">
        <v>478</v>
      </c>
      <c r="C24" s="192">
        <v>14681</v>
      </c>
      <c r="D24" s="192">
        <v>14681</v>
      </c>
      <c r="E24" s="192">
        <v>0</v>
      </c>
      <c r="F24" s="192">
        <v>0</v>
      </c>
      <c r="G24" s="192">
        <v>0</v>
      </c>
      <c r="H24" s="192">
        <v>0</v>
      </c>
    </row>
    <row r="25" spans="1:8" ht="24.95" customHeight="1" x14ac:dyDescent="0.2">
      <c r="A25" s="190" t="s">
        <v>479</v>
      </c>
      <c r="B25" s="191" t="s">
        <v>480</v>
      </c>
      <c r="C25" s="192">
        <v>4282</v>
      </c>
      <c r="D25" s="192">
        <v>4282</v>
      </c>
      <c r="E25" s="192">
        <v>0</v>
      </c>
      <c r="F25" s="192">
        <v>0</v>
      </c>
      <c r="G25" s="192">
        <v>0</v>
      </c>
      <c r="H25" s="192">
        <v>0</v>
      </c>
    </row>
    <row r="26" spans="1:8" ht="24.95" customHeight="1" x14ac:dyDescent="0.2">
      <c r="A26" s="196" t="s">
        <v>481</v>
      </c>
      <c r="B26" s="197" t="s">
        <v>482</v>
      </c>
      <c r="C26" s="198">
        <v>9867951</v>
      </c>
      <c r="D26" s="198">
        <v>1257732</v>
      </c>
      <c r="E26" s="198">
        <v>0</v>
      </c>
      <c r="F26" s="198">
        <v>0</v>
      </c>
      <c r="G26" s="198">
        <v>8610219</v>
      </c>
      <c r="H26" s="198">
        <v>0</v>
      </c>
    </row>
    <row r="27" spans="1:8" ht="24.95" customHeight="1" x14ac:dyDescent="0.2">
      <c r="A27" s="190" t="s">
        <v>245</v>
      </c>
      <c r="B27" s="191" t="s">
        <v>483</v>
      </c>
      <c r="C27" s="192">
        <v>1434000</v>
      </c>
      <c r="D27" s="192">
        <v>0</v>
      </c>
      <c r="E27" s="192">
        <v>0</v>
      </c>
      <c r="F27" s="192">
        <v>1434000</v>
      </c>
      <c r="G27" s="192">
        <v>0</v>
      </c>
      <c r="H27" s="192">
        <v>0</v>
      </c>
    </row>
    <row r="28" spans="1:8" ht="24.95" customHeight="1" x14ac:dyDescent="0.2">
      <c r="A28" s="190" t="s">
        <v>484</v>
      </c>
      <c r="B28" s="191" t="s">
        <v>485</v>
      </c>
      <c r="C28" s="192">
        <v>1434000</v>
      </c>
      <c r="D28" s="192">
        <v>0</v>
      </c>
      <c r="E28" s="192">
        <v>0</v>
      </c>
      <c r="F28" s="192">
        <v>1434000</v>
      </c>
      <c r="G28" s="192">
        <v>0</v>
      </c>
      <c r="H28" s="192">
        <v>0</v>
      </c>
    </row>
    <row r="29" spans="1:8" ht="24.95" customHeight="1" x14ac:dyDescent="0.2">
      <c r="A29" s="196" t="s">
        <v>486</v>
      </c>
      <c r="B29" s="197" t="s">
        <v>487</v>
      </c>
      <c r="C29" s="198">
        <v>1434000</v>
      </c>
      <c r="D29" s="198">
        <v>0</v>
      </c>
      <c r="E29" s="198">
        <v>0</v>
      </c>
      <c r="F29" s="198">
        <v>1434000</v>
      </c>
      <c r="G29" s="198">
        <v>0</v>
      </c>
      <c r="H29" s="198">
        <v>0</v>
      </c>
    </row>
    <row r="30" spans="1:8" ht="24.95" customHeight="1" x14ac:dyDescent="0.2">
      <c r="A30" s="196" t="s">
        <v>488</v>
      </c>
      <c r="B30" s="197" t="s">
        <v>489</v>
      </c>
      <c r="C30" s="198">
        <v>818022980</v>
      </c>
      <c r="D30" s="198">
        <v>4142655</v>
      </c>
      <c r="E30" s="198">
        <v>775606830</v>
      </c>
      <c r="F30" s="198">
        <v>1434000</v>
      </c>
      <c r="G30" s="198">
        <v>8610219</v>
      </c>
      <c r="H30" s="198">
        <v>28229276</v>
      </c>
    </row>
    <row r="31" spans="1:8" ht="24.95" customHeight="1" x14ac:dyDescent="0.2">
      <c r="A31" s="190" t="s">
        <v>490</v>
      </c>
      <c r="B31" s="191" t="s">
        <v>491</v>
      </c>
      <c r="C31" s="192">
        <v>247340833</v>
      </c>
      <c r="D31" s="192">
        <v>0</v>
      </c>
      <c r="E31" s="192">
        <v>247340833</v>
      </c>
      <c r="F31" s="192">
        <v>0</v>
      </c>
      <c r="G31" s="192">
        <v>0</v>
      </c>
      <c r="H31" s="192">
        <v>0</v>
      </c>
    </row>
    <row r="32" spans="1:8" ht="24.95" customHeight="1" x14ac:dyDescent="0.2">
      <c r="A32" s="190" t="s">
        <v>492</v>
      </c>
      <c r="B32" s="191" t="s">
        <v>493</v>
      </c>
      <c r="C32" s="192">
        <v>247340833</v>
      </c>
      <c r="D32" s="192">
        <v>0</v>
      </c>
      <c r="E32" s="192">
        <v>247340833</v>
      </c>
      <c r="F32" s="192">
        <v>0</v>
      </c>
      <c r="G32" s="192">
        <v>0</v>
      </c>
      <c r="H32" s="192">
        <v>0</v>
      </c>
    </row>
    <row r="33" spans="1:8" ht="24.95" customHeight="1" x14ac:dyDescent="0.2">
      <c r="A33" s="190" t="s">
        <v>494</v>
      </c>
      <c r="B33" s="191" t="s">
        <v>495</v>
      </c>
      <c r="C33" s="192">
        <v>247340833</v>
      </c>
      <c r="D33" s="192">
        <v>0</v>
      </c>
      <c r="E33" s="192">
        <v>247340833</v>
      </c>
      <c r="F33" s="192">
        <v>0</v>
      </c>
      <c r="G33" s="192">
        <v>0</v>
      </c>
      <c r="H33" s="192">
        <v>0</v>
      </c>
    </row>
    <row r="34" spans="1:8" ht="24.95" customHeight="1" x14ac:dyDescent="0.2">
      <c r="A34" s="196" t="s">
        <v>496</v>
      </c>
      <c r="B34" s="197" t="s">
        <v>497</v>
      </c>
      <c r="C34" s="198">
        <v>247340833</v>
      </c>
      <c r="D34" s="198">
        <v>0</v>
      </c>
      <c r="E34" s="198">
        <v>247340833</v>
      </c>
      <c r="F34" s="198">
        <v>0</v>
      </c>
      <c r="G34" s="198">
        <v>0</v>
      </c>
      <c r="H34" s="198">
        <v>0</v>
      </c>
    </row>
    <row r="35" spans="1:8" ht="24.95" customHeight="1" x14ac:dyDescent="0.2">
      <c r="A35" s="199" t="s">
        <v>498</v>
      </c>
      <c r="B35" s="200" t="s">
        <v>499</v>
      </c>
      <c r="C35" s="201">
        <v>1065363813</v>
      </c>
      <c r="D35" s="201">
        <v>4142655</v>
      </c>
      <c r="E35" s="201">
        <v>1022947663</v>
      </c>
      <c r="F35" s="201">
        <v>1434000</v>
      </c>
      <c r="G35" s="201">
        <v>8610219</v>
      </c>
      <c r="H35" s="201">
        <v>28229276</v>
      </c>
    </row>
    <row r="37" spans="1:8" ht="24.95" customHeight="1" x14ac:dyDescent="0.25">
      <c r="A37" s="184" t="s">
        <v>393</v>
      </c>
    </row>
    <row r="38" spans="1:8" ht="24.95" customHeight="1" x14ac:dyDescent="0.2">
      <c r="A38" s="317" t="s">
        <v>457</v>
      </c>
      <c r="B38" s="292"/>
      <c r="C38" s="292"/>
      <c r="D38" s="292"/>
      <c r="E38" s="292"/>
      <c r="F38" s="292"/>
      <c r="G38" s="292"/>
      <c r="H38" s="292"/>
    </row>
    <row r="39" spans="1:8" ht="77.25" customHeight="1" x14ac:dyDescent="0.2">
      <c r="A39" s="186" t="s">
        <v>178</v>
      </c>
      <c r="B39" s="186" t="s">
        <v>5</v>
      </c>
      <c r="C39" s="186" t="s">
        <v>49</v>
      </c>
      <c r="D39" s="186" t="s">
        <v>327</v>
      </c>
      <c r="E39" s="186" t="s">
        <v>395</v>
      </c>
      <c r="F39" s="186" t="s">
        <v>500</v>
      </c>
      <c r="G39" s="186" t="s">
        <v>396</v>
      </c>
      <c r="H39" s="186" t="s">
        <v>397</v>
      </c>
    </row>
    <row r="40" spans="1:8" ht="24.95" customHeight="1" x14ac:dyDescent="0.2">
      <c r="A40" s="190" t="s">
        <v>302</v>
      </c>
      <c r="B40" s="191" t="s">
        <v>458</v>
      </c>
      <c r="C40" s="192">
        <v>5214000</v>
      </c>
      <c r="D40" s="192">
        <v>2370000</v>
      </c>
      <c r="E40" s="192">
        <v>0</v>
      </c>
      <c r="F40" s="192">
        <v>0</v>
      </c>
      <c r="G40" s="212">
        <v>2844000</v>
      </c>
      <c r="H40" s="192">
        <v>0</v>
      </c>
    </row>
    <row r="41" spans="1:8" ht="24.95" customHeight="1" x14ac:dyDescent="0.2">
      <c r="A41" s="190" t="s">
        <v>419</v>
      </c>
      <c r="B41" s="191" t="s">
        <v>460</v>
      </c>
      <c r="C41" s="192">
        <v>5214000</v>
      </c>
      <c r="D41" s="192">
        <v>2370000</v>
      </c>
      <c r="E41" s="192">
        <v>0</v>
      </c>
      <c r="F41" s="192">
        <v>0</v>
      </c>
      <c r="G41" s="212">
        <v>2844000</v>
      </c>
      <c r="H41" s="192">
        <v>0</v>
      </c>
    </row>
    <row r="42" spans="1:8" ht="24.95" customHeight="1" x14ac:dyDescent="0.2">
      <c r="A42" s="196" t="s">
        <v>195</v>
      </c>
      <c r="B42" s="197" t="s">
        <v>462</v>
      </c>
      <c r="C42" s="198">
        <v>5214000</v>
      </c>
      <c r="D42" s="198">
        <v>2370000</v>
      </c>
      <c r="E42" s="198">
        <v>0</v>
      </c>
      <c r="F42" s="198">
        <v>0</v>
      </c>
      <c r="G42" s="213">
        <v>2844000</v>
      </c>
      <c r="H42" s="198">
        <v>0</v>
      </c>
    </row>
    <row r="43" spans="1:8" ht="24.95" customHeight="1" x14ac:dyDescent="0.2">
      <c r="A43" s="190" t="s">
        <v>365</v>
      </c>
      <c r="B43" s="191" t="s">
        <v>469</v>
      </c>
      <c r="C43" s="192">
        <v>10000</v>
      </c>
      <c r="D43" s="192">
        <v>0</v>
      </c>
      <c r="E43" s="192">
        <v>0</v>
      </c>
      <c r="F43" s="192">
        <v>0</v>
      </c>
      <c r="G43" s="212">
        <v>0</v>
      </c>
      <c r="H43" s="192">
        <v>10000</v>
      </c>
    </row>
    <row r="44" spans="1:8" ht="24.95" customHeight="1" x14ac:dyDescent="0.2">
      <c r="A44" s="190" t="s">
        <v>437</v>
      </c>
      <c r="B44" s="191" t="s">
        <v>470</v>
      </c>
      <c r="C44" s="192">
        <v>10000</v>
      </c>
      <c r="D44" s="192">
        <v>0</v>
      </c>
      <c r="E44" s="192">
        <v>0</v>
      </c>
      <c r="F44" s="192">
        <v>0</v>
      </c>
      <c r="G44" s="212">
        <v>0</v>
      </c>
      <c r="H44" s="192">
        <v>10000</v>
      </c>
    </row>
    <row r="45" spans="1:8" ht="24.95" customHeight="1" x14ac:dyDescent="0.2">
      <c r="A45" s="190" t="s">
        <v>375</v>
      </c>
      <c r="B45" s="191" t="s">
        <v>471</v>
      </c>
      <c r="C45" s="192">
        <v>1576100</v>
      </c>
      <c r="D45" s="192">
        <v>0</v>
      </c>
      <c r="E45" s="192">
        <v>1368850</v>
      </c>
      <c r="F45" s="192">
        <v>207250</v>
      </c>
      <c r="G45" s="212">
        <v>0</v>
      </c>
      <c r="H45" s="192">
        <v>0</v>
      </c>
    </row>
    <row r="46" spans="1:8" ht="24.95" customHeight="1" x14ac:dyDescent="0.2">
      <c r="A46" s="190" t="s">
        <v>477</v>
      </c>
      <c r="B46" s="191" t="s">
        <v>478</v>
      </c>
      <c r="C46" s="192">
        <v>1604144</v>
      </c>
      <c r="D46" s="192">
        <v>0</v>
      </c>
      <c r="E46" s="192">
        <v>2685</v>
      </c>
      <c r="F46" s="192">
        <v>0</v>
      </c>
      <c r="G46" s="212">
        <v>1531367</v>
      </c>
      <c r="H46" s="192">
        <v>70092</v>
      </c>
    </row>
    <row r="47" spans="1:8" ht="24.95" customHeight="1" x14ac:dyDescent="0.2">
      <c r="A47" s="196" t="s">
        <v>481</v>
      </c>
      <c r="B47" s="197" t="s">
        <v>482</v>
      </c>
      <c r="C47" s="198">
        <v>3190244</v>
      </c>
      <c r="D47" s="198">
        <v>0</v>
      </c>
      <c r="E47" s="198">
        <v>1371535</v>
      </c>
      <c r="F47" s="198">
        <v>207250</v>
      </c>
      <c r="G47" s="213">
        <v>1531367</v>
      </c>
      <c r="H47" s="198">
        <v>80092</v>
      </c>
    </row>
    <row r="48" spans="1:8" ht="24.95" customHeight="1" x14ac:dyDescent="0.2">
      <c r="A48" s="190" t="s">
        <v>245</v>
      </c>
      <c r="B48" s="191" t="s">
        <v>483</v>
      </c>
      <c r="C48" s="192">
        <v>640430</v>
      </c>
      <c r="D48" s="192">
        <v>0</v>
      </c>
      <c r="E48" s="192">
        <v>440430</v>
      </c>
      <c r="F48" s="192">
        <v>0</v>
      </c>
      <c r="G48" s="212">
        <v>0</v>
      </c>
      <c r="H48" s="192">
        <v>200000</v>
      </c>
    </row>
    <row r="49" spans="1:17" ht="24.95" customHeight="1" x14ac:dyDescent="0.2">
      <c r="A49" s="190" t="s">
        <v>484</v>
      </c>
      <c r="B49" s="191" t="s">
        <v>485</v>
      </c>
      <c r="C49" s="192">
        <v>640430</v>
      </c>
      <c r="D49" s="192">
        <v>0</v>
      </c>
      <c r="E49" s="192">
        <v>440430</v>
      </c>
      <c r="F49" s="192">
        <v>0</v>
      </c>
      <c r="G49" s="212">
        <v>0</v>
      </c>
      <c r="H49" s="192">
        <v>200000</v>
      </c>
    </row>
    <row r="50" spans="1:17" ht="24.95" customHeight="1" x14ac:dyDescent="0.2">
      <c r="A50" s="196" t="s">
        <v>486</v>
      </c>
      <c r="B50" s="197" t="s">
        <v>487</v>
      </c>
      <c r="C50" s="198">
        <v>640430</v>
      </c>
      <c r="D50" s="198">
        <v>0</v>
      </c>
      <c r="E50" s="198">
        <v>440430</v>
      </c>
      <c r="F50" s="198">
        <v>0</v>
      </c>
      <c r="G50" s="213">
        <v>0</v>
      </c>
      <c r="H50" s="198">
        <v>200000</v>
      </c>
    </row>
    <row r="51" spans="1:17" ht="24.95" customHeight="1" x14ac:dyDescent="0.2">
      <c r="A51" s="196" t="s">
        <v>488</v>
      </c>
      <c r="B51" s="197" t="s">
        <v>489</v>
      </c>
      <c r="C51" s="198">
        <v>9044674</v>
      </c>
      <c r="D51" s="198">
        <v>2370000</v>
      </c>
      <c r="E51" s="198">
        <v>1811965</v>
      </c>
      <c r="F51" s="198">
        <v>207250</v>
      </c>
      <c r="G51" s="213">
        <v>4375367</v>
      </c>
      <c r="H51" s="198">
        <v>280092</v>
      </c>
    </row>
    <row r="52" spans="1:17" ht="24.95" customHeight="1" x14ac:dyDescent="0.2">
      <c r="A52" s="190" t="s">
        <v>490</v>
      </c>
      <c r="B52" s="191" t="s">
        <v>491</v>
      </c>
      <c r="C52" s="192">
        <v>3069484</v>
      </c>
      <c r="D52" s="192">
        <v>3069484</v>
      </c>
      <c r="E52" s="192">
        <v>0</v>
      </c>
      <c r="F52" s="192">
        <v>0</v>
      </c>
      <c r="G52" s="212">
        <v>0</v>
      </c>
      <c r="H52" s="192">
        <v>0</v>
      </c>
    </row>
    <row r="53" spans="1:17" ht="24.95" customHeight="1" x14ac:dyDescent="0.2">
      <c r="A53" s="190" t="s">
        <v>492</v>
      </c>
      <c r="B53" s="191" t="s">
        <v>493</v>
      </c>
      <c r="C53" s="192">
        <v>3069484</v>
      </c>
      <c r="D53" s="192">
        <v>3069484</v>
      </c>
      <c r="E53" s="192">
        <v>0</v>
      </c>
      <c r="F53" s="192">
        <v>0</v>
      </c>
      <c r="G53" s="212">
        <v>0</v>
      </c>
      <c r="H53" s="192">
        <v>0</v>
      </c>
    </row>
    <row r="54" spans="1:17" ht="24.95" customHeight="1" x14ac:dyDescent="0.2">
      <c r="A54" s="190" t="s">
        <v>501</v>
      </c>
      <c r="B54" s="191" t="s">
        <v>502</v>
      </c>
      <c r="C54" s="192">
        <v>256224982</v>
      </c>
      <c r="D54" s="192">
        <v>256224982</v>
      </c>
      <c r="E54" s="192">
        <v>0</v>
      </c>
      <c r="F54" s="192">
        <v>0</v>
      </c>
      <c r="G54" s="212">
        <v>0</v>
      </c>
      <c r="H54" s="192">
        <v>0</v>
      </c>
    </row>
    <row r="55" spans="1:17" ht="24.95" customHeight="1" x14ac:dyDescent="0.2">
      <c r="A55" s="190" t="s">
        <v>494</v>
      </c>
      <c r="B55" s="191" t="s">
        <v>495</v>
      </c>
      <c r="C55" s="192">
        <v>259294466</v>
      </c>
      <c r="D55" s="192">
        <v>259294466</v>
      </c>
      <c r="E55" s="192">
        <v>0</v>
      </c>
      <c r="F55" s="192">
        <v>0</v>
      </c>
      <c r="G55" s="212">
        <v>0</v>
      </c>
      <c r="H55" s="192">
        <v>0</v>
      </c>
    </row>
    <row r="56" spans="1:17" ht="24.95" customHeight="1" x14ac:dyDescent="0.2">
      <c r="A56" s="196" t="s">
        <v>496</v>
      </c>
      <c r="B56" s="197" t="s">
        <v>497</v>
      </c>
      <c r="C56" s="198">
        <v>259294466</v>
      </c>
      <c r="D56" s="198">
        <v>259294466</v>
      </c>
      <c r="E56" s="198">
        <v>0</v>
      </c>
      <c r="F56" s="198">
        <v>0</v>
      </c>
      <c r="G56" s="213">
        <v>0</v>
      </c>
      <c r="H56" s="198">
        <v>0</v>
      </c>
    </row>
    <row r="57" spans="1:17" ht="24.95" customHeight="1" x14ac:dyDescent="0.2">
      <c r="A57" s="199" t="s">
        <v>498</v>
      </c>
      <c r="B57" s="200" t="s">
        <v>499</v>
      </c>
      <c r="C57" s="201">
        <v>268339140</v>
      </c>
      <c r="D57" s="201">
        <v>261664466</v>
      </c>
      <c r="E57" s="201">
        <v>1811965</v>
      </c>
      <c r="F57" s="201">
        <v>207250</v>
      </c>
      <c r="G57" s="213">
        <v>4375367</v>
      </c>
      <c r="H57" s="201">
        <v>280092</v>
      </c>
    </row>
    <row r="59" spans="1:17" ht="24.95" customHeight="1" x14ac:dyDescent="0.2">
      <c r="A59" s="318" t="s">
        <v>258</v>
      </c>
      <c r="B59" s="318"/>
      <c r="C59" s="318"/>
    </row>
    <row r="60" spans="1:17" ht="24.95" customHeight="1" x14ac:dyDescent="0.2">
      <c r="A60" s="317" t="s">
        <v>457</v>
      </c>
      <c r="B60" s="292"/>
      <c r="C60" s="292"/>
      <c r="D60" s="292"/>
      <c r="E60" s="292"/>
      <c r="F60" s="292"/>
      <c r="G60" s="292"/>
      <c r="H60" s="292"/>
      <c r="I60" s="292"/>
      <c r="J60" s="292"/>
      <c r="K60" s="292"/>
      <c r="L60" s="292"/>
      <c r="M60" s="292"/>
      <c r="N60" s="292"/>
      <c r="O60" s="292"/>
      <c r="P60" s="292"/>
      <c r="Q60" s="292"/>
    </row>
    <row r="61" spans="1:17" ht="105" customHeight="1" x14ac:dyDescent="0.2">
      <c r="A61" s="186" t="s">
        <v>178</v>
      </c>
      <c r="B61" s="186" t="s">
        <v>5</v>
      </c>
      <c r="C61" s="186" t="s">
        <v>49</v>
      </c>
      <c r="D61" s="186" t="s">
        <v>327</v>
      </c>
      <c r="E61" s="186" t="s">
        <v>441</v>
      </c>
      <c r="F61" s="186" t="s">
        <v>442</v>
      </c>
      <c r="G61" s="186" t="s">
        <v>443</v>
      </c>
      <c r="H61" s="186" t="s">
        <v>444</v>
      </c>
      <c r="I61" s="186" t="s">
        <v>445</v>
      </c>
      <c r="J61" s="186" t="s">
        <v>446</v>
      </c>
      <c r="K61" s="186" t="s">
        <v>447</v>
      </c>
      <c r="L61" s="186" t="s">
        <v>448</v>
      </c>
      <c r="M61" s="186" t="s">
        <v>330</v>
      </c>
      <c r="N61" s="186" t="s">
        <v>450</v>
      </c>
      <c r="O61" s="186" t="s">
        <v>452</v>
      </c>
      <c r="P61" s="186" t="s">
        <v>453</v>
      </c>
      <c r="Q61" s="186" t="s">
        <v>454</v>
      </c>
    </row>
    <row r="62" spans="1:17" ht="24.95" customHeight="1" x14ac:dyDescent="0.2">
      <c r="A62" s="190" t="s">
        <v>302</v>
      </c>
      <c r="B62" s="191" t="s">
        <v>458</v>
      </c>
      <c r="C62" s="192">
        <v>4188793</v>
      </c>
      <c r="D62" s="192">
        <v>1925930</v>
      </c>
      <c r="E62" s="192">
        <v>2262863</v>
      </c>
      <c r="F62" s="192">
        <v>0</v>
      </c>
      <c r="G62" s="192">
        <v>0</v>
      </c>
      <c r="H62" s="192">
        <v>0</v>
      </c>
      <c r="I62" s="192">
        <v>0</v>
      </c>
      <c r="J62" s="192">
        <v>0</v>
      </c>
      <c r="K62" s="192">
        <v>0</v>
      </c>
      <c r="L62" s="192">
        <v>0</v>
      </c>
      <c r="M62" s="192">
        <v>0</v>
      </c>
      <c r="N62" s="192">
        <v>0</v>
      </c>
      <c r="O62" s="212">
        <v>0</v>
      </c>
      <c r="P62" s="212">
        <v>0</v>
      </c>
      <c r="Q62" s="212">
        <v>0</v>
      </c>
    </row>
    <row r="63" spans="1:17" ht="24.95" customHeight="1" x14ac:dyDescent="0.2">
      <c r="A63" s="190" t="s">
        <v>503</v>
      </c>
      <c r="B63" s="191" t="s">
        <v>504</v>
      </c>
      <c r="C63" s="192">
        <v>2262863</v>
      </c>
      <c r="D63" s="192">
        <v>0</v>
      </c>
      <c r="E63" s="192">
        <v>2262863</v>
      </c>
      <c r="F63" s="192">
        <v>0</v>
      </c>
      <c r="G63" s="192">
        <v>0</v>
      </c>
      <c r="H63" s="192">
        <v>0</v>
      </c>
      <c r="I63" s="192">
        <v>0</v>
      </c>
      <c r="J63" s="192">
        <v>0</v>
      </c>
      <c r="K63" s="192">
        <v>0</v>
      </c>
      <c r="L63" s="192">
        <v>0</v>
      </c>
      <c r="M63" s="192">
        <v>0</v>
      </c>
      <c r="N63" s="192">
        <v>0</v>
      </c>
      <c r="O63" s="212">
        <v>0</v>
      </c>
      <c r="P63" s="212">
        <v>0</v>
      </c>
      <c r="Q63" s="212">
        <v>0</v>
      </c>
    </row>
    <row r="64" spans="1:17" ht="24.95" customHeight="1" x14ac:dyDescent="0.2">
      <c r="A64" s="190" t="s">
        <v>419</v>
      </c>
      <c r="B64" s="191" t="s">
        <v>460</v>
      </c>
      <c r="C64" s="192">
        <v>1925930</v>
      </c>
      <c r="D64" s="192">
        <v>1925930</v>
      </c>
      <c r="E64" s="192">
        <v>0</v>
      </c>
      <c r="F64" s="192">
        <v>0</v>
      </c>
      <c r="G64" s="192">
        <v>0</v>
      </c>
      <c r="H64" s="192">
        <v>0</v>
      </c>
      <c r="I64" s="192">
        <v>0</v>
      </c>
      <c r="J64" s="192">
        <v>0</v>
      </c>
      <c r="K64" s="192">
        <v>0</v>
      </c>
      <c r="L64" s="192">
        <v>0</v>
      </c>
      <c r="M64" s="192">
        <v>0</v>
      </c>
      <c r="N64" s="192">
        <v>0</v>
      </c>
      <c r="O64" s="212">
        <v>0</v>
      </c>
      <c r="P64" s="212">
        <v>0</v>
      </c>
      <c r="Q64" s="212">
        <v>0</v>
      </c>
    </row>
    <row r="65" spans="1:17" ht="24.95" customHeight="1" x14ac:dyDescent="0.2">
      <c r="A65" s="196" t="s">
        <v>195</v>
      </c>
      <c r="B65" s="197" t="s">
        <v>462</v>
      </c>
      <c r="C65" s="198">
        <v>4188793</v>
      </c>
      <c r="D65" s="198">
        <v>1925930</v>
      </c>
      <c r="E65" s="198">
        <v>2262863</v>
      </c>
      <c r="F65" s="198">
        <v>0</v>
      </c>
      <c r="G65" s="198">
        <v>0</v>
      </c>
      <c r="H65" s="198">
        <v>0</v>
      </c>
      <c r="I65" s="198">
        <v>0</v>
      </c>
      <c r="J65" s="198">
        <v>0</v>
      </c>
      <c r="K65" s="198">
        <v>0</v>
      </c>
      <c r="L65" s="198">
        <v>0</v>
      </c>
      <c r="M65" s="198">
        <v>0</v>
      </c>
      <c r="N65" s="198">
        <v>0</v>
      </c>
      <c r="O65" s="213">
        <v>0</v>
      </c>
      <c r="P65" s="213">
        <v>0</v>
      </c>
      <c r="Q65" s="213">
        <v>0</v>
      </c>
    </row>
    <row r="66" spans="1:17" ht="24.95" customHeight="1" x14ac:dyDescent="0.2">
      <c r="A66" s="190" t="s">
        <v>505</v>
      </c>
      <c r="B66" s="191" t="s">
        <v>506</v>
      </c>
      <c r="C66" s="192">
        <v>534211</v>
      </c>
      <c r="D66" s="192">
        <v>0</v>
      </c>
      <c r="E66" s="192">
        <v>0</v>
      </c>
      <c r="F66" s="192">
        <v>0</v>
      </c>
      <c r="G66" s="192">
        <v>0</v>
      </c>
      <c r="H66" s="192">
        <v>0</v>
      </c>
      <c r="I66" s="192">
        <v>0</v>
      </c>
      <c r="J66" s="192">
        <v>0</v>
      </c>
      <c r="K66" s="192">
        <v>0</v>
      </c>
      <c r="L66" s="192">
        <v>0</v>
      </c>
      <c r="M66" s="192">
        <v>0</v>
      </c>
      <c r="N66" s="192">
        <v>534211</v>
      </c>
      <c r="O66" s="212">
        <v>0</v>
      </c>
      <c r="P66" s="212">
        <v>0</v>
      </c>
      <c r="Q66" s="212">
        <v>0</v>
      </c>
    </row>
    <row r="67" spans="1:17" ht="24.95" customHeight="1" x14ac:dyDescent="0.2">
      <c r="A67" s="190" t="s">
        <v>507</v>
      </c>
      <c r="B67" s="191" t="s">
        <v>508</v>
      </c>
      <c r="C67" s="192">
        <v>36609077</v>
      </c>
      <c r="D67" s="192">
        <v>0</v>
      </c>
      <c r="E67" s="192">
        <v>0</v>
      </c>
      <c r="F67" s="192">
        <v>0</v>
      </c>
      <c r="G67" s="192">
        <v>17341898</v>
      </c>
      <c r="H67" s="192">
        <v>0</v>
      </c>
      <c r="I67" s="192">
        <v>1979270</v>
      </c>
      <c r="J67" s="192">
        <v>0</v>
      </c>
      <c r="K67" s="192">
        <v>17127594</v>
      </c>
      <c r="L67" s="192">
        <v>0</v>
      </c>
      <c r="M67" s="192">
        <v>0</v>
      </c>
      <c r="N67" s="192">
        <v>130315</v>
      </c>
      <c r="O67" s="212">
        <v>0</v>
      </c>
      <c r="P67" s="212">
        <v>30000</v>
      </c>
      <c r="Q67" s="212">
        <v>0</v>
      </c>
    </row>
    <row r="68" spans="1:17" ht="24.95" customHeight="1" x14ac:dyDescent="0.2">
      <c r="A68" s="190" t="s">
        <v>365</v>
      </c>
      <c r="B68" s="191" t="s">
        <v>469</v>
      </c>
      <c r="C68" s="192">
        <v>1995343</v>
      </c>
      <c r="D68" s="192">
        <v>0</v>
      </c>
      <c r="E68" s="192">
        <v>0</v>
      </c>
      <c r="F68" s="192">
        <v>0</v>
      </c>
      <c r="G68" s="192">
        <v>1995343</v>
      </c>
      <c r="H68" s="192">
        <v>0</v>
      </c>
      <c r="I68" s="192">
        <v>0</v>
      </c>
      <c r="J68" s="192">
        <v>0</v>
      </c>
      <c r="K68" s="192">
        <v>0</v>
      </c>
      <c r="L68" s="192">
        <v>0</v>
      </c>
      <c r="M68" s="192">
        <v>0</v>
      </c>
      <c r="N68" s="192">
        <v>0</v>
      </c>
      <c r="O68" s="212">
        <v>0</v>
      </c>
      <c r="P68" s="212">
        <v>0</v>
      </c>
      <c r="Q68" s="212">
        <v>0</v>
      </c>
    </row>
    <row r="69" spans="1:17" ht="24.95" customHeight="1" x14ac:dyDescent="0.2">
      <c r="A69" s="190" t="s">
        <v>437</v>
      </c>
      <c r="B69" s="191" t="s">
        <v>470</v>
      </c>
      <c r="C69" s="192">
        <v>1995343</v>
      </c>
      <c r="D69" s="192">
        <v>0</v>
      </c>
      <c r="E69" s="192">
        <v>0</v>
      </c>
      <c r="F69" s="192">
        <v>0</v>
      </c>
      <c r="G69" s="192">
        <v>1995343</v>
      </c>
      <c r="H69" s="192">
        <v>0</v>
      </c>
      <c r="I69" s="192">
        <v>0</v>
      </c>
      <c r="J69" s="192">
        <v>0</v>
      </c>
      <c r="K69" s="192">
        <v>0</v>
      </c>
      <c r="L69" s="192">
        <v>0</v>
      </c>
      <c r="M69" s="192">
        <v>0</v>
      </c>
      <c r="N69" s="192">
        <v>0</v>
      </c>
      <c r="O69" s="212">
        <v>0</v>
      </c>
      <c r="P69" s="212">
        <v>0</v>
      </c>
      <c r="Q69" s="212">
        <v>0</v>
      </c>
    </row>
    <row r="70" spans="1:17" ht="24.95" customHeight="1" x14ac:dyDescent="0.2">
      <c r="A70" s="190" t="s">
        <v>375</v>
      </c>
      <c r="B70" s="191" t="s">
        <v>471</v>
      </c>
      <c r="C70" s="192">
        <v>237179241</v>
      </c>
      <c r="D70" s="192">
        <v>0</v>
      </c>
      <c r="E70" s="192">
        <v>0</v>
      </c>
      <c r="F70" s="192">
        <v>3446250</v>
      </c>
      <c r="G70" s="192">
        <v>75923050</v>
      </c>
      <c r="H70" s="192">
        <v>40062277</v>
      </c>
      <c r="I70" s="192">
        <v>36294860</v>
      </c>
      <c r="J70" s="192">
        <v>9747360</v>
      </c>
      <c r="K70" s="192">
        <v>2861536</v>
      </c>
      <c r="L70" s="192">
        <v>6583336</v>
      </c>
      <c r="M70" s="192">
        <v>3916270</v>
      </c>
      <c r="N70" s="192">
        <v>0</v>
      </c>
      <c r="O70" s="212">
        <v>35120528</v>
      </c>
      <c r="P70" s="212">
        <v>16394064</v>
      </c>
      <c r="Q70" s="212">
        <v>6829710</v>
      </c>
    </row>
    <row r="71" spans="1:17" ht="24.95" customHeight="1" x14ac:dyDescent="0.2">
      <c r="A71" s="190" t="s">
        <v>377</v>
      </c>
      <c r="B71" s="191" t="s">
        <v>472</v>
      </c>
      <c r="C71" s="192">
        <v>11219600</v>
      </c>
      <c r="D71" s="192">
        <v>0</v>
      </c>
      <c r="E71" s="192">
        <v>2751</v>
      </c>
      <c r="F71" s="192">
        <v>2239</v>
      </c>
      <c r="G71" s="192">
        <v>1264996</v>
      </c>
      <c r="H71" s="192">
        <v>0</v>
      </c>
      <c r="I71" s="192">
        <v>2889</v>
      </c>
      <c r="J71" s="192">
        <v>0</v>
      </c>
      <c r="K71" s="192">
        <v>149692</v>
      </c>
      <c r="L71" s="192">
        <v>164819</v>
      </c>
      <c r="M71" s="192">
        <v>0</v>
      </c>
      <c r="N71" s="192">
        <v>180012</v>
      </c>
      <c r="O71" s="212">
        <v>9424904</v>
      </c>
      <c r="P71" s="212">
        <v>23518</v>
      </c>
      <c r="Q71" s="212">
        <v>3780</v>
      </c>
    </row>
    <row r="72" spans="1:17" ht="24.95" customHeight="1" x14ac:dyDescent="0.2">
      <c r="A72" s="190" t="s">
        <v>509</v>
      </c>
      <c r="B72" s="191" t="s">
        <v>510</v>
      </c>
      <c r="C72" s="192">
        <v>16550</v>
      </c>
      <c r="D72" s="192">
        <v>0</v>
      </c>
      <c r="E72" s="192">
        <v>0</v>
      </c>
      <c r="F72" s="192">
        <v>16550</v>
      </c>
      <c r="G72" s="192">
        <v>0</v>
      </c>
      <c r="H72" s="192">
        <v>0</v>
      </c>
      <c r="I72" s="192">
        <v>0</v>
      </c>
      <c r="J72" s="192">
        <v>0</v>
      </c>
      <c r="K72" s="192">
        <v>0</v>
      </c>
      <c r="L72" s="192">
        <v>0</v>
      </c>
      <c r="M72" s="192">
        <v>0</v>
      </c>
      <c r="N72" s="192">
        <v>0</v>
      </c>
      <c r="O72" s="212">
        <v>0</v>
      </c>
      <c r="P72" s="212">
        <v>0</v>
      </c>
      <c r="Q72" s="212">
        <v>0</v>
      </c>
    </row>
    <row r="73" spans="1:17" ht="24.95" customHeight="1" x14ac:dyDescent="0.2">
      <c r="A73" s="190" t="s">
        <v>477</v>
      </c>
      <c r="B73" s="191" t="s">
        <v>478</v>
      </c>
      <c r="C73" s="192">
        <v>1655573</v>
      </c>
      <c r="D73" s="192">
        <v>0</v>
      </c>
      <c r="E73" s="192">
        <v>10189</v>
      </c>
      <c r="F73" s="192">
        <v>47222</v>
      </c>
      <c r="G73" s="192">
        <v>336953</v>
      </c>
      <c r="H73" s="192">
        <v>0</v>
      </c>
      <c r="I73" s="192">
        <v>22615</v>
      </c>
      <c r="J73" s="192">
        <v>0</v>
      </c>
      <c r="K73" s="192">
        <v>40361</v>
      </c>
      <c r="L73" s="192">
        <v>0</v>
      </c>
      <c r="M73" s="192">
        <v>1111378</v>
      </c>
      <c r="N73" s="192">
        <v>15549</v>
      </c>
      <c r="O73" s="212">
        <v>0</v>
      </c>
      <c r="P73" s="212">
        <v>57306</v>
      </c>
      <c r="Q73" s="212">
        <v>14000</v>
      </c>
    </row>
    <row r="74" spans="1:17" ht="24.95" customHeight="1" x14ac:dyDescent="0.2">
      <c r="A74" s="196" t="s">
        <v>481</v>
      </c>
      <c r="B74" s="197" t="s">
        <v>482</v>
      </c>
      <c r="C74" s="198">
        <v>289209595</v>
      </c>
      <c r="D74" s="198">
        <v>0</v>
      </c>
      <c r="E74" s="198">
        <v>12940</v>
      </c>
      <c r="F74" s="198">
        <v>3512261</v>
      </c>
      <c r="G74" s="198">
        <v>96862240</v>
      </c>
      <c r="H74" s="198">
        <v>40062277</v>
      </c>
      <c r="I74" s="198">
        <v>38299634</v>
      </c>
      <c r="J74" s="198">
        <v>9747360</v>
      </c>
      <c r="K74" s="198">
        <v>20179183</v>
      </c>
      <c r="L74" s="198">
        <v>6748155</v>
      </c>
      <c r="M74" s="198">
        <v>5027648</v>
      </c>
      <c r="N74" s="198">
        <v>860087</v>
      </c>
      <c r="O74" s="213">
        <v>44545432</v>
      </c>
      <c r="P74" s="213">
        <v>16504888</v>
      </c>
      <c r="Q74" s="213">
        <v>6847490</v>
      </c>
    </row>
    <row r="75" spans="1:17" ht="24.95" customHeight="1" x14ac:dyDescent="0.2">
      <c r="A75" s="190" t="s">
        <v>245</v>
      </c>
      <c r="B75" s="191" t="s">
        <v>483</v>
      </c>
      <c r="C75" s="192">
        <v>2378700</v>
      </c>
      <c r="D75" s="192">
        <v>0</v>
      </c>
      <c r="E75" s="192">
        <v>0</v>
      </c>
      <c r="F75" s="192">
        <v>200000</v>
      </c>
      <c r="G75" s="192">
        <v>622700</v>
      </c>
      <c r="H75" s="192">
        <v>0</v>
      </c>
      <c r="I75" s="192">
        <v>0</v>
      </c>
      <c r="J75" s="192">
        <v>0</v>
      </c>
      <c r="K75" s="192">
        <v>0</v>
      </c>
      <c r="L75" s="192">
        <v>0</v>
      </c>
      <c r="M75" s="192">
        <v>1556000</v>
      </c>
      <c r="N75" s="192">
        <v>0</v>
      </c>
      <c r="O75" s="212">
        <v>0</v>
      </c>
      <c r="P75" s="212">
        <v>0</v>
      </c>
      <c r="Q75" s="212">
        <v>0</v>
      </c>
    </row>
    <row r="76" spans="1:17" ht="24.95" customHeight="1" x14ac:dyDescent="0.2">
      <c r="A76" s="190" t="s">
        <v>484</v>
      </c>
      <c r="B76" s="191" t="s">
        <v>485</v>
      </c>
      <c r="C76" s="192">
        <v>2378700</v>
      </c>
      <c r="D76" s="192">
        <v>0</v>
      </c>
      <c r="E76" s="192">
        <v>0</v>
      </c>
      <c r="F76" s="192">
        <v>200000</v>
      </c>
      <c r="G76" s="192">
        <v>622700</v>
      </c>
      <c r="H76" s="192">
        <v>0</v>
      </c>
      <c r="I76" s="192">
        <v>0</v>
      </c>
      <c r="J76" s="192">
        <v>0</v>
      </c>
      <c r="K76" s="192">
        <v>0</v>
      </c>
      <c r="L76" s="192">
        <v>0</v>
      </c>
      <c r="M76" s="192">
        <v>1556000</v>
      </c>
      <c r="N76" s="192">
        <v>0</v>
      </c>
      <c r="O76" s="212">
        <v>0</v>
      </c>
      <c r="P76" s="212">
        <v>0</v>
      </c>
      <c r="Q76" s="212">
        <v>0</v>
      </c>
    </row>
    <row r="77" spans="1:17" ht="24.95" customHeight="1" x14ac:dyDescent="0.2">
      <c r="A77" s="196" t="s">
        <v>486</v>
      </c>
      <c r="B77" s="197" t="s">
        <v>487</v>
      </c>
      <c r="C77" s="198">
        <v>2378700</v>
      </c>
      <c r="D77" s="198">
        <v>0</v>
      </c>
      <c r="E77" s="198">
        <v>0</v>
      </c>
      <c r="F77" s="198">
        <v>200000</v>
      </c>
      <c r="G77" s="198">
        <v>622700</v>
      </c>
      <c r="H77" s="198">
        <v>0</v>
      </c>
      <c r="I77" s="198">
        <v>0</v>
      </c>
      <c r="J77" s="198">
        <v>0</v>
      </c>
      <c r="K77" s="198">
        <v>0</v>
      </c>
      <c r="L77" s="198">
        <v>0</v>
      </c>
      <c r="M77" s="198">
        <v>1556000</v>
      </c>
      <c r="N77" s="198">
        <v>0</v>
      </c>
      <c r="O77" s="213">
        <v>0</v>
      </c>
      <c r="P77" s="213">
        <v>0</v>
      </c>
      <c r="Q77" s="213">
        <v>0</v>
      </c>
    </row>
    <row r="78" spans="1:17" ht="24.95" customHeight="1" x14ac:dyDescent="0.2">
      <c r="A78" s="196" t="s">
        <v>488</v>
      </c>
      <c r="B78" s="197" t="s">
        <v>489</v>
      </c>
      <c r="C78" s="198">
        <v>295777088</v>
      </c>
      <c r="D78" s="198">
        <v>1925930</v>
      </c>
      <c r="E78" s="198">
        <v>2275803</v>
      </c>
      <c r="F78" s="198">
        <v>3712261</v>
      </c>
      <c r="G78" s="198">
        <v>97484940</v>
      </c>
      <c r="H78" s="198">
        <v>40062277</v>
      </c>
      <c r="I78" s="198">
        <v>38299634</v>
      </c>
      <c r="J78" s="198">
        <v>9747360</v>
      </c>
      <c r="K78" s="198">
        <v>20179183</v>
      </c>
      <c r="L78" s="198">
        <v>6748155</v>
      </c>
      <c r="M78" s="198">
        <v>6583648</v>
      </c>
      <c r="N78" s="198">
        <v>860087</v>
      </c>
      <c r="O78" s="213">
        <v>44545432</v>
      </c>
      <c r="P78" s="213">
        <v>16504888</v>
      </c>
      <c r="Q78" s="213">
        <v>6847490</v>
      </c>
    </row>
    <row r="79" spans="1:17" ht="24.95" customHeight="1" x14ac:dyDescent="0.2">
      <c r="A79" s="190" t="s">
        <v>490</v>
      </c>
      <c r="B79" s="191" t="s">
        <v>491</v>
      </c>
      <c r="C79" s="192">
        <v>81696284</v>
      </c>
      <c r="D79" s="192">
        <v>81696284</v>
      </c>
      <c r="E79" s="192">
        <v>0</v>
      </c>
      <c r="F79" s="192">
        <v>0</v>
      </c>
      <c r="G79" s="192">
        <v>0</v>
      </c>
      <c r="H79" s="192">
        <v>0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212">
        <v>0</v>
      </c>
      <c r="P79" s="212">
        <v>0</v>
      </c>
      <c r="Q79" s="212">
        <v>0</v>
      </c>
    </row>
    <row r="80" spans="1:17" ht="24.95" customHeight="1" x14ac:dyDescent="0.2">
      <c r="A80" s="190" t="s">
        <v>492</v>
      </c>
      <c r="B80" s="191" t="s">
        <v>493</v>
      </c>
      <c r="C80" s="192">
        <v>81696284</v>
      </c>
      <c r="D80" s="192">
        <v>81696284</v>
      </c>
      <c r="E80" s="192">
        <v>0</v>
      </c>
      <c r="F80" s="192">
        <v>0</v>
      </c>
      <c r="G80" s="192">
        <v>0</v>
      </c>
      <c r="H80" s="192">
        <v>0</v>
      </c>
      <c r="I80" s="192">
        <v>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212">
        <v>0</v>
      </c>
      <c r="P80" s="212">
        <v>0</v>
      </c>
      <c r="Q80" s="212">
        <v>0</v>
      </c>
    </row>
    <row r="81" spans="1:17" ht="24.95" customHeight="1" x14ac:dyDescent="0.2">
      <c r="A81" s="190" t="s">
        <v>501</v>
      </c>
      <c r="B81" s="191" t="s">
        <v>502</v>
      </c>
      <c r="C81" s="192">
        <v>485855829</v>
      </c>
      <c r="D81" s="192">
        <v>485855829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  <c r="K81" s="192">
        <v>0</v>
      </c>
      <c r="L81" s="192">
        <v>0</v>
      </c>
      <c r="M81" s="192">
        <v>0</v>
      </c>
      <c r="N81" s="192">
        <v>0</v>
      </c>
      <c r="O81" s="212">
        <v>0</v>
      </c>
      <c r="P81" s="212">
        <v>0</v>
      </c>
      <c r="Q81" s="212">
        <v>0</v>
      </c>
    </row>
    <row r="82" spans="1:17" ht="24.95" customHeight="1" x14ac:dyDescent="0.2">
      <c r="A82" s="190" t="s">
        <v>494</v>
      </c>
      <c r="B82" s="191" t="s">
        <v>495</v>
      </c>
      <c r="C82" s="192">
        <v>567552113</v>
      </c>
      <c r="D82" s="192">
        <v>567552113</v>
      </c>
      <c r="E82" s="192">
        <v>0</v>
      </c>
      <c r="F82" s="192">
        <v>0</v>
      </c>
      <c r="G82" s="192">
        <v>0</v>
      </c>
      <c r="H82" s="192">
        <v>0</v>
      </c>
      <c r="I82" s="192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v>0</v>
      </c>
      <c r="O82" s="212">
        <v>0</v>
      </c>
      <c r="P82" s="212">
        <v>0</v>
      </c>
      <c r="Q82" s="212">
        <v>0</v>
      </c>
    </row>
    <row r="83" spans="1:17" ht="24.95" customHeight="1" x14ac:dyDescent="0.2">
      <c r="A83" s="196" t="s">
        <v>496</v>
      </c>
      <c r="B83" s="197" t="s">
        <v>497</v>
      </c>
      <c r="C83" s="198">
        <v>567552113</v>
      </c>
      <c r="D83" s="198">
        <v>567552113</v>
      </c>
      <c r="E83" s="198">
        <v>0</v>
      </c>
      <c r="F83" s="198">
        <v>0</v>
      </c>
      <c r="G83" s="198">
        <v>0</v>
      </c>
      <c r="H83" s="198">
        <v>0</v>
      </c>
      <c r="I83" s="198">
        <v>0</v>
      </c>
      <c r="J83" s="198">
        <v>0</v>
      </c>
      <c r="K83" s="198">
        <v>0</v>
      </c>
      <c r="L83" s="198">
        <v>0</v>
      </c>
      <c r="M83" s="198">
        <v>0</v>
      </c>
      <c r="N83" s="198">
        <v>0</v>
      </c>
      <c r="O83" s="213">
        <v>0</v>
      </c>
      <c r="P83" s="213">
        <v>0</v>
      </c>
      <c r="Q83" s="213">
        <v>0</v>
      </c>
    </row>
    <row r="84" spans="1:17" ht="24.95" customHeight="1" x14ac:dyDescent="0.2">
      <c r="A84" s="214" t="s">
        <v>498</v>
      </c>
      <c r="B84" s="215" t="s">
        <v>499</v>
      </c>
      <c r="C84" s="216">
        <v>863329201</v>
      </c>
      <c r="D84" s="216">
        <v>569478043</v>
      </c>
      <c r="E84" s="216">
        <v>2275803</v>
      </c>
      <c r="F84" s="216">
        <v>3712261</v>
      </c>
      <c r="G84" s="216">
        <v>97484940</v>
      </c>
      <c r="H84" s="216">
        <v>40062277</v>
      </c>
      <c r="I84" s="216">
        <v>38299634</v>
      </c>
      <c r="J84" s="216">
        <v>9747360</v>
      </c>
      <c r="K84" s="216">
        <v>20179183</v>
      </c>
      <c r="L84" s="216">
        <v>6748155</v>
      </c>
      <c r="M84" s="216">
        <v>6583648</v>
      </c>
      <c r="N84" s="216">
        <v>860087</v>
      </c>
      <c r="O84" s="213">
        <v>44545432</v>
      </c>
      <c r="P84" s="213">
        <v>16504888</v>
      </c>
      <c r="Q84" s="213">
        <v>6847490</v>
      </c>
    </row>
  </sheetData>
  <mergeCells count="8">
    <mergeCell ref="A59:C59"/>
    <mergeCell ref="A60:Q60"/>
    <mergeCell ref="B2:I2"/>
    <mergeCell ref="B3:I3"/>
    <mergeCell ref="B4:I4"/>
    <mergeCell ref="B5:I5"/>
    <mergeCell ref="A8:H8"/>
    <mergeCell ref="A38:H38"/>
  </mergeCells>
  <pageMargins left="0.7" right="0.7" top="0.75" bottom="0.75" header="0.3" footer="0.3"/>
  <pageSetup paperSize="8" scale="57" orientation="landscape" r:id="rId1"/>
  <rowBreaks count="1" manualBreakCount="1">
    <brk id="37" max="16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4"/>
  <dimension ref="A1:I17"/>
  <sheetViews>
    <sheetView view="pageBreakPreview" zoomScale="60" zoomScaleNormal="100" workbookViewId="0">
      <selection sqref="A1:D1"/>
    </sheetView>
  </sheetViews>
  <sheetFormatPr defaultRowHeight="14.25" x14ac:dyDescent="0.2"/>
  <cols>
    <col min="1" max="1" width="9" style="246"/>
    <col min="2" max="2" width="30.25" style="246" customWidth="1"/>
    <col min="3" max="3" width="21.5" style="246" customWidth="1"/>
    <col min="4" max="16384" width="9" style="246"/>
  </cols>
  <sheetData>
    <row r="1" spans="1:9" ht="15" x14ac:dyDescent="0.25">
      <c r="A1" s="320" t="s">
        <v>595</v>
      </c>
      <c r="B1" s="320"/>
      <c r="C1" s="320"/>
      <c r="D1" s="320"/>
      <c r="E1" s="247"/>
      <c r="F1" s="247"/>
      <c r="G1" s="247"/>
      <c r="H1" s="247"/>
      <c r="I1" s="247"/>
    </row>
    <row r="2" spans="1:9" ht="15.75" x14ac:dyDescent="0.25">
      <c r="A2" s="308" t="s">
        <v>0</v>
      </c>
      <c r="B2" s="308"/>
      <c r="C2" s="308"/>
      <c r="D2" s="308"/>
      <c r="E2" s="308"/>
      <c r="F2" s="56"/>
      <c r="G2" s="56"/>
      <c r="H2" s="56"/>
      <c r="I2" s="56"/>
    </row>
    <row r="3" spans="1:9" ht="33.75" customHeight="1" x14ac:dyDescent="0.25">
      <c r="A3" s="321" t="s">
        <v>547</v>
      </c>
      <c r="B3" s="321"/>
      <c r="C3" s="321"/>
      <c r="D3" s="321"/>
      <c r="E3" s="247"/>
      <c r="F3" s="247"/>
      <c r="G3" s="247"/>
      <c r="H3" s="247"/>
      <c r="I3" s="247"/>
    </row>
    <row r="5" spans="1:9" ht="15" x14ac:dyDescent="0.25">
      <c r="B5" s="248" t="s">
        <v>545</v>
      </c>
      <c r="C5" s="248" t="s">
        <v>561</v>
      </c>
    </row>
    <row r="6" spans="1:9" ht="15" x14ac:dyDescent="0.25">
      <c r="B6" s="248" t="s">
        <v>562</v>
      </c>
      <c r="C6" s="249"/>
    </row>
    <row r="7" spans="1:9" ht="48" customHeight="1" x14ac:dyDescent="0.25">
      <c r="B7" s="250" t="s">
        <v>563</v>
      </c>
      <c r="C7" s="251">
        <v>3600000</v>
      </c>
    </row>
    <row r="8" spans="1:9" ht="48" customHeight="1" x14ac:dyDescent="0.25">
      <c r="B8" s="250" t="s">
        <v>566</v>
      </c>
      <c r="C8" s="256">
        <v>7879821</v>
      </c>
    </row>
    <row r="9" spans="1:9" ht="38.1" customHeight="1" x14ac:dyDescent="0.25">
      <c r="B9" s="248" t="s">
        <v>564</v>
      </c>
      <c r="C9" s="253"/>
    </row>
    <row r="10" spans="1:9" ht="63" customHeight="1" x14ac:dyDescent="0.25">
      <c r="B10" s="252" t="s">
        <v>567</v>
      </c>
      <c r="C10" s="251">
        <v>150000</v>
      </c>
    </row>
    <row r="11" spans="1:9" ht="50.25" customHeight="1" x14ac:dyDescent="0.25">
      <c r="B11" s="252" t="s">
        <v>568</v>
      </c>
      <c r="C11" s="251">
        <v>750000</v>
      </c>
    </row>
    <row r="12" spans="1:9" ht="38.1" customHeight="1" x14ac:dyDescent="0.25">
      <c r="B12" s="254" t="s">
        <v>565</v>
      </c>
      <c r="C12" s="255">
        <f>SUM(C7:C11)</f>
        <v>12379821</v>
      </c>
    </row>
    <row r="14" spans="1:9" x14ac:dyDescent="0.2">
      <c r="B14" s="246" t="s">
        <v>569</v>
      </c>
    </row>
    <row r="15" spans="1:9" x14ac:dyDescent="0.2">
      <c r="B15" s="246" t="s">
        <v>570</v>
      </c>
    </row>
    <row r="17" spans="2:2" x14ac:dyDescent="0.2">
      <c r="B17" s="246" t="s">
        <v>143</v>
      </c>
    </row>
  </sheetData>
  <mergeCells count="3">
    <mergeCell ref="A1:D1"/>
    <mergeCell ref="A2:E2"/>
    <mergeCell ref="A3:D3"/>
  </mergeCells>
  <pageMargins left="0.7" right="0.7" top="0.75" bottom="0.75" header="0.3" footer="0.3"/>
  <pageSetup paperSize="9" scale="7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/>
  <dimension ref="A2:G71"/>
  <sheetViews>
    <sheetView view="pageBreakPreview" topLeftCell="A29" zoomScale="60" zoomScaleNormal="100" workbookViewId="0">
      <selection activeCell="B39" sqref="B39:D71"/>
    </sheetView>
  </sheetViews>
  <sheetFormatPr defaultRowHeight="14.25" x14ac:dyDescent="0.2"/>
  <cols>
    <col min="1" max="1" width="9" style="246"/>
    <col min="2" max="2" width="22.75" style="246" customWidth="1"/>
    <col min="3" max="3" width="15" style="246" customWidth="1"/>
    <col min="4" max="4" width="14.625" style="246" customWidth="1"/>
    <col min="5" max="5" width="17.875" style="246" customWidth="1"/>
    <col min="6" max="6" width="15.25" style="246" customWidth="1"/>
    <col min="7" max="7" width="58.25" style="246" customWidth="1"/>
    <col min="8" max="16384" width="9" style="246"/>
  </cols>
  <sheetData>
    <row r="2" spans="1:7" ht="15" x14ac:dyDescent="0.25">
      <c r="A2" s="320" t="s">
        <v>596</v>
      </c>
      <c r="B2" s="320"/>
      <c r="C2" s="320"/>
      <c r="D2" s="320"/>
      <c r="E2" s="320"/>
      <c r="F2" s="320"/>
      <c r="G2" s="320"/>
    </row>
    <row r="3" spans="1:7" ht="15.75" x14ac:dyDescent="0.25">
      <c r="A3" s="308" t="s">
        <v>0</v>
      </c>
      <c r="B3" s="308"/>
      <c r="C3" s="308"/>
      <c r="D3" s="308"/>
      <c r="E3" s="308"/>
      <c r="F3" s="308"/>
      <c r="G3" s="308"/>
    </row>
    <row r="4" spans="1:7" ht="15" customHeight="1" x14ac:dyDescent="0.25">
      <c r="A4" s="321" t="s">
        <v>547</v>
      </c>
      <c r="B4" s="321"/>
      <c r="C4" s="321"/>
      <c r="D4" s="321"/>
      <c r="E4" s="321"/>
      <c r="F4" s="321"/>
      <c r="G4" s="321"/>
    </row>
    <row r="6" spans="1:7" ht="15" x14ac:dyDescent="0.25">
      <c r="B6" s="328" t="s">
        <v>571</v>
      </c>
      <c r="C6" s="328"/>
      <c r="D6" s="328"/>
      <c r="E6" s="328"/>
      <c r="F6" s="328"/>
      <c r="G6" s="328"/>
    </row>
    <row r="7" spans="1:7" ht="15" x14ac:dyDescent="0.25">
      <c r="B7" s="329" t="s">
        <v>597</v>
      </c>
      <c r="C7" s="329"/>
      <c r="D7" s="329"/>
      <c r="E7" s="329"/>
      <c r="F7" s="329"/>
      <c r="G7" s="329"/>
    </row>
    <row r="8" spans="1:7" ht="15.75" thickBot="1" x14ac:dyDescent="0.3">
      <c r="B8" s="249"/>
      <c r="C8" s="249"/>
      <c r="D8" s="257" t="s">
        <v>572</v>
      </c>
      <c r="E8" s="257" t="s">
        <v>573</v>
      </c>
      <c r="F8" s="257" t="s">
        <v>574</v>
      </c>
      <c r="G8" s="257" t="s">
        <v>575</v>
      </c>
    </row>
    <row r="9" spans="1:7" ht="15" x14ac:dyDescent="0.25">
      <c r="A9" s="330" t="s">
        <v>576</v>
      </c>
      <c r="B9" s="258" t="s">
        <v>577</v>
      </c>
      <c r="C9" s="259"/>
      <c r="D9" s="251">
        <v>21071610</v>
      </c>
      <c r="E9" s="251">
        <f>D9-F9</f>
        <v>20879100</v>
      </c>
      <c r="F9" s="251">
        <v>192510</v>
      </c>
      <c r="G9" s="260" t="s">
        <v>578</v>
      </c>
    </row>
    <row r="10" spans="1:7" ht="15" x14ac:dyDescent="0.25">
      <c r="A10" s="331"/>
      <c r="B10" s="323" t="s">
        <v>579</v>
      </c>
      <c r="C10" s="327"/>
      <c r="D10" s="251">
        <f>7733000+71300</f>
        <v>7804300</v>
      </c>
      <c r="E10" s="251">
        <f>7733000</f>
        <v>7733000</v>
      </c>
      <c r="F10" s="251">
        <f t="shared" ref="F10:F14" si="0">D10-E10</f>
        <v>71300</v>
      </c>
      <c r="G10" s="260" t="s">
        <v>580</v>
      </c>
    </row>
    <row r="11" spans="1:7" ht="30" x14ac:dyDescent="0.25">
      <c r="A11" s="331"/>
      <c r="B11" s="323" t="s">
        <v>581</v>
      </c>
      <c r="C11" s="327"/>
      <c r="D11" s="251">
        <v>1560860</v>
      </c>
      <c r="E11" s="251">
        <f>D11</f>
        <v>1560860</v>
      </c>
      <c r="F11" s="251">
        <f t="shared" si="0"/>
        <v>0</v>
      </c>
      <c r="G11" s="260" t="s">
        <v>600</v>
      </c>
    </row>
    <row r="12" spans="1:7" ht="37.5" customHeight="1" x14ac:dyDescent="0.25">
      <c r="A12" s="331"/>
      <c r="B12" s="333" t="s">
        <v>582</v>
      </c>
      <c r="C12" s="334"/>
      <c r="D12" s="251">
        <v>780430</v>
      </c>
      <c r="E12" s="251">
        <f>D12</f>
        <v>780430</v>
      </c>
      <c r="F12" s="251">
        <f t="shared" si="0"/>
        <v>0</v>
      </c>
      <c r="G12" s="260" t="s">
        <v>598</v>
      </c>
    </row>
    <row r="13" spans="1:7" ht="75.75" customHeight="1" x14ac:dyDescent="0.25">
      <c r="A13" s="331"/>
      <c r="B13" s="323" t="s">
        <v>583</v>
      </c>
      <c r="C13" s="327"/>
      <c r="D13" s="251">
        <v>7804300</v>
      </c>
      <c r="E13" s="251">
        <f>D13-F13</f>
        <v>7733000</v>
      </c>
      <c r="F13" s="251">
        <v>71300</v>
      </c>
      <c r="G13" s="260" t="s">
        <v>599</v>
      </c>
    </row>
    <row r="14" spans="1:7" ht="66.75" customHeight="1" thickBot="1" x14ac:dyDescent="0.3">
      <c r="A14" s="332"/>
      <c r="B14" s="335" t="s">
        <v>584</v>
      </c>
      <c r="C14" s="323"/>
      <c r="D14" s="251">
        <f>871999+94574590</f>
        <v>95446589</v>
      </c>
      <c r="E14" s="251">
        <v>94574590</v>
      </c>
      <c r="F14" s="251">
        <f t="shared" si="0"/>
        <v>871999</v>
      </c>
      <c r="G14" s="260" t="s">
        <v>601</v>
      </c>
    </row>
    <row r="15" spans="1:7" ht="56.25" customHeight="1" x14ac:dyDescent="0.25">
      <c r="A15" s="261"/>
      <c r="B15" s="327" t="s">
        <v>602</v>
      </c>
      <c r="C15" s="327"/>
      <c r="D15" s="251">
        <f>1031030+72100</f>
        <v>1103130</v>
      </c>
      <c r="E15" s="251">
        <f>D15</f>
        <v>1103130</v>
      </c>
      <c r="F15" s="251"/>
      <c r="G15" s="260" t="s">
        <v>603</v>
      </c>
    </row>
    <row r="16" spans="1:7" ht="86.25" customHeight="1" x14ac:dyDescent="0.25">
      <c r="A16" s="261"/>
      <c r="B16" s="322" t="s">
        <v>604</v>
      </c>
      <c r="C16" s="323"/>
      <c r="D16" s="251">
        <v>19650397</v>
      </c>
      <c r="E16" s="251">
        <f>19650397</f>
        <v>19650397</v>
      </c>
      <c r="F16" s="251"/>
      <c r="G16" s="260" t="s">
        <v>605</v>
      </c>
    </row>
    <row r="17" spans="2:7" ht="15.75" thickBot="1" x14ac:dyDescent="0.3">
      <c r="B17" s="324" t="s">
        <v>49</v>
      </c>
      <c r="C17" s="324"/>
      <c r="D17" s="262">
        <f>SUM(D9:D16)</f>
        <v>155221616</v>
      </c>
      <c r="E17" s="262">
        <f t="shared" ref="E17:F17" si="1">SUM(E9:E16)</f>
        <v>154014507</v>
      </c>
      <c r="F17" s="262">
        <f t="shared" si="1"/>
        <v>1207109</v>
      </c>
      <c r="G17" s="238"/>
    </row>
    <row r="18" spans="2:7" ht="56.25" customHeight="1" thickBot="1" x14ac:dyDescent="0.3">
      <c r="B18" s="325" t="s">
        <v>585</v>
      </c>
      <c r="C18" s="326"/>
      <c r="D18" s="263"/>
      <c r="E18" s="262">
        <f>E16+56064697</f>
        <v>75715094</v>
      </c>
      <c r="F18" s="264">
        <f>E18/E17</f>
        <v>0.49161014423141319</v>
      </c>
      <c r="G18" s="265" t="s">
        <v>606</v>
      </c>
    </row>
    <row r="19" spans="2:7" ht="55.5" customHeight="1" thickBot="1" x14ac:dyDescent="0.3">
      <c r="B19" s="325" t="s">
        <v>586</v>
      </c>
      <c r="C19" s="326"/>
      <c r="D19" s="263"/>
      <c r="E19" s="262">
        <f>E17-E18</f>
        <v>78299413</v>
      </c>
      <c r="F19" s="264">
        <f>E19/E17</f>
        <v>0.50838985576858675</v>
      </c>
      <c r="G19" s="265" t="s">
        <v>607</v>
      </c>
    </row>
    <row r="20" spans="2:7" ht="15" x14ac:dyDescent="0.25">
      <c r="B20" s="266"/>
      <c r="C20" s="266"/>
      <c r="D20" s="263"/>
      <c r="E20" s="263"/>
      <c r="F20" s="263"/>
      <c r="G20" s="223"/>
    </row>
    <row r="21" spans="2:7" x14ac:dyDescent="0.2">
      <c r="B21" s="246" t="s">
        <v>608</v>
      </c>
    </row>
    <row r="24" spans="2:7" ht="15" x14ac:dyDescent="0.25">
      <c r="B24" s="184" t="s">
        <v>609</v>
      </c>
    </row>
    <row r="26" spans="2:7" x14ac:dyDescent="0.2">
      <c r="B26" s="246" t="s">
        <v>587</v>
      </c>
      <c r="D26" s="217">
        <f>E14</f>
        <v>94574590</v>
      </c>
    </row>
    <row r="28" spans="2:7" ht="99" customHeight="1" x14ac:dyDescent="0.2">
      <c r="B28" s="339" t="s">
        <v>588</v>
      </c>
      <c r="C28" s="339"/>
      <c r="D28" s="267" t="s">
        <v>589</v>
      </c>
      <c r="E28" s="267" t="s">
        <v>40</v>
      </c>
      <c r="F28" s="267" t="s">
        <v>624</v>
      </c>
      <c r="G28" s="267" t="s">
        <v>49</v>
      </c>
    </row>
    <row r="29" spans="2:7" ht="39" customHeight="1" x14ac:dyDescent="0.2">
      <c r="B29" s="337" t="s">
        <v>610</v>
      </c>
      <c r="C29" s="337"/>
      <c r="D29" s="221">
        <f>kiadások!F106</f>
        <v>107485523</v>
      </c>
      <c r="E29" s="221">
        <f>kiadások!Q166</f>
        <v>84636644</v>
      </c>
      <c r="F29" s="221">
        <f>kiadások!R166+kiadások!S166</f>
        <v>118697201</v>
      </c>
      <c r="G29" s="268">
        <f>SUM(D29:F29)</f>
        <v>310819368</v>
      </c>
    </row>
    <row r="30" spans="2:7" ht="36.75" customHeight="1" x14ac:dyDescent="0.2">
      <c r="B30" s="337" t="s">
        <v>611</v>
      </c>
      <c r="C30" s="337"/>
      <c r="D30" s="221">
        <f>bevételek!G57</f>
        <v>4375367</v>
      </c>
      <c r="E30" s="221">
        <f>bevételek!O84</f>
        <v>44545432</v>
      </c>
      <c r="F30" s="221">
        <f>bevételek!P84+bevételek!Q84</f>
        <v>23352378</v>
      </c>
      <c r="G30" s="268">
        <f>SUM(D30:F30)</f>
        <v>72273177</v>
      </c>
    </row>
    <row r="31" spans="2:7" ht="52.5" customHeight="1" x14ac:dyDescent="0.2">
      <c r="B31" s="337" t="s">
        <v>612</v>
      </c>
      <c r="C31" s="337"/>
      <c r="D31" s="221">
        <f>állami!H9</f>
        <v>58968000</v>
      </c>
      <c r="E31" s="221">
        <f>állami!H11</f>
        <v>31164760</v>
      </c>
      <c r="F31" s="221">
        <f>állami!H12+9995600-458790</f>
        <v>64877810</v>
      </c>
      <c r="G31" s="268">
        <f>SUM(D31:F31)</f>
        <v>155010570</v>
      </c>
    </row>
    <row r="32" spans="2:7" ht="45.75" customHeight="1" x14ac:dyDescent="0.2">
      <c r="B32" s="337" t="s">
        <v>590</v>
      </c>
      <c r="C32" s="337"/>
      <c r="D32" s="221">
        <f>D29-D30-D31</f>
        <v>44142156</v>
      </c>
      <c r="E32" s="221">
        <f t="shared" ref="E32:F32" si="2">E29-E30-E31</f>
        <v>8926452</v>
      </c>
      <c r="F32" s="221">
        <f t="shared" si="2"/>
        <v>30467013</v>
      </c>
      <c r="G32" s="269">
        <f>D32+E32+F32</f>
        <v>83535621</v>
      </c>
    </row>
    <row r="34" spans="2:7" ht="39.75" customHeight="1" x14ac:dyDescent="0.2">
      <c r="B34" s="338" t="s">
        <v>613</v>
      </c>
      <c r="C34" s="338"/>
      <c r="D34" s="338"/>
      <c r="E34" s="338"/>
      <c r="F34" s="338"/>
      <c r="G34" s="268">
        <f>D26</f>
        <v>94574590</v>
      </c>
    </row>
    <row r="36" spans="2:7" ht="42" customHeight="1" x14ac:dyDescent="0.2">
      <c r="B36" s="337" t="s">
        <v>614</v>
      </c>
      <c r="C36" s="337"/>
      <c r="D36" s="337"/>
      <c r="E36" s="337"/>
      <c r="F36" s="337"/>
      <c r="G36" s="268">
        <f>G32-G34</f>
        <v>-11038969</v>
      </c>
    </row>
    <row r="38" spans="2:7" x14ac:dyDescent="0.2">
      <c r="E38" s="246" t="s">
        <v>615</v>
      </c>
      <c r="G38" s="231">
        <v>11038969</v>
      </c>
    </row>
    <row r="39" spans="2:7" ht="15.75" x14ac:dyDescent="0.25">
      <c r="B39" s="282"/>
      <c r="C39" s="282"/>
      <c r="D39" s="336"/>
    </row>
    <row r="40" spans="2:7" ht="37.5" customHeight="1" x14ac:dyDescent="0.25">
      <c r="B40" s="283"/>
      <c r="C40" s="284"/>
      <c r="D40" s="336"/>
    </row>
    <row r="41" spans="2:7" ht="15.75" x14ac:dyDescent="0.25">
      <c r="B41" s="270"/>
      <c r="C41" s="285"/>
      <c r="D41" s="222"/>
    </row>
    <row r="42" spans="2:7" ht="15.75" x14ac:dyDescent="0.25">
      <c r="B42" s="270"/>
      <c r="C42" s="285"/>
      <c r="D42" s="222"/>
    </row>
    <row r="43" spans="2:7" ht="15.75" x14ac:dyDescent="0.25">
      <c r="B43" s="270"/>
      <c r="C43" s="285"/>
      <c r="D43" s="222"/>
    </row>
    <row r="44" spans="2:7" ht="15.75" x14ac:dyDescent="0.25">
      <c r="B44" s="270"/>
      <c r="C44" s="285"/>
      <c r="D44" s="222"/>
    </row>
    <row r="45" spans="2:7" ht="15.75" x14ac:dyDescent="0.25">
      <c r="B45" s="270"/>
      <c r="C45" s="285"/>
      <c r="D45" s="222"/>
    </row>
    <row r="46" spans="2:7" ht="15.75" x14ac:dyDescent="0.25">
      <c r="B46" s="270"/>
      <c r="C46" s="285"/>
      <c r="D46" s="222"/>
    </row>
    <row r="47" spans="2:7" ht="15.75" x14ac:dyDescent="0.25">
      <c r="B47" s="270"/>
      <c r="C47" s="285"/>
      <c r="D47" s="222"/>
    </row>
    <row r="48" spans="2:7" ht="15.75" x14ac:dyDescent="0.25">
      <c r="B48" s="270"/>
      <c r="C48" s="285"/>
      <c r="D48" s="222"/>
    </row>
    <row r="49" spans="2:4" ht="15.75" x14ac:dyDescent="0.25">
      <c r="B49" s="270"/>
      <c r="C49" s="286"/>
      <c r="D49" s="222"/>
    </row>
    <row r="50" spans="2:4" ht="15.75" x14ac:dyDescent="0.25">
      <c r="B50" s="270"/>
      <c r="C50" s="286"/>
      <c r="D50" s="222"/>
    </row>
    <row r="51" spans="2:4" ht="15.75" x14ac:dyDescent="0.25">
      <c r="B51" s="270"/>
      <c r="C51" s="285"/>
      <c r="D51" s="222"/>
    </row>
    <row r="52" spans="2:4" ht="15.75" x14ac:dyDescent="0.25">
      <c r="B52" s="270"/>
      <c r="C52" s="286"/>
      <c r="D52" s="222"/>
    </row>
    <row r="53" spans="2:4" ht="15.75" x14ac:dyDescent="0.25">
      <c r="B53" s="270"/>
      <c r="C53" s="285"/>
      <c r="D53" s="222"/>
    </row>
    <row r="54" spans="2:4" ht="15.75" x14ac:dyDescent="0.25">
      <c r="B54" s="270"/>
      <c r="C54" s="285"/>
      <c r="D54" s="222"/>
    </row>
    <row r="55" spans="2:4" ht="15.75" x14ac:dyDescent="0.25">
      <c r="B55" s="270"/>
      <c r="C55" s="285"/>
      <c r="D55" s="222"/>
    </row>
    <row r="56" spans="2:4" ht="15.75" x14ac:dyDescent="0.25">
      <c r="B56" s="270"/>
      <c r="C56" s="285"/>
      <c r="D56" s="222"/>
    </row>
    <row r="57" spans="2:4" ht="15.75" x14ac:dyDescent="0.25">
      <c r="B57" s="270"/>
      <c r="C57" s="285"/>
      <c r="D57" s="222"/>
    </row>
    <row r="58" spans="2:4" ht="15.75" x14ac:dyDescent="0.25">
      <c r="B58" s="270"/>
      <c r="C58" s="285"/>
      <c r="D58" s="222"/>
    </row>
    <row r="59" spans="2:4" ht="15.75" x14ac:dyDescent="0.25">
      <c r="B59" s="270"/>
      <c r="C59" s="285"/>
      <c r="D59" s="222"/>
    </row>
    <row r="60" spans="2:4" ht="15.75" x14ac:dyDescent="0.25">
      <c r="B60" s="270"/>
      <c r="C60" s="285"/>
      <c r="D60" s="222"/>
    </row>
    <row r="61" spans="2:4" ht="15.75" x14ac:dyDescent="0.25">
      <c r="B61" s="270"/>
      <c r="C61" s="285"/>
      <c r="D61" s="222"/>
    </row>
    <row r="62" spans="2:4" ht="15.75" x14ac:dyDescent="0.25">
      <c r="B62" s="270"/>
      <c r="C62" s="285"/>
      <c r="D62" s="222"/>
    </row>
    <row r="63" spans="2:4" ht="15.75" x14ac:dyDescent="0.25">
      <c r="B63" s="270"/>
      <c r="C63" s="285"/>
      <c r="D63" s="222"/>
    </row>
    <row r="64" spans="2:4" ht="15.75" x14ac:dyDescent="0.25">
      <c r="B64" s="270"/>
      <c r="C64" s="285"/>
      <c r="D64" s="222"/>
    </row>
    <row r="65" spans="2:4" ht="15.75" x14ac:dyDescent="0.25">
      <c r="B65" s="270"/>
      <c r="C65" s="285"/>
      <c r="D65" s="222"/>
    </row>
    <row r="66" spans="2:4" ht="15.75" x14ac:dyDescent="0.25">
      <c r="B66" s="270"/>
      <c r="C66" s="285"/>
      <c r="D66" s="222"/>
    </row>
    <row r="67" spans="2:4" ht="15.75" x14ac:dyDescent="0.25">
      <c r="B67" s="270"/>
      <c r="C67" s="285"/>
      <c r="D67" s="222"/>
    </row>
    <row r="68" spans="2:4" ht="15" x14ac:dyDescent="0.25">
      <c r="B68" s="287"/>
      <c r="C68" s="287"/>
      <c r="D68" s="223"/>
    </row>
    <row r="69" spans="2:4" ht="15" x14ac:dyDescent="0.25">
      <c r="B69" s="287"/>
      <c r="C69" s="288"/>
      <c r="D69" s="263"/>
    </row>
    <row r="70" spans="2:4" ht="15.75" x14ac:dyDescent="0.25">
      <c r="B70" s="270"/>
      <c r="C70" s="223"/>
      <c r="D70" s="222"/>
    </row>
    <row r="71" spans="2:4" ht="15.75" x14ac:dyDescent="0.25">
      <c r="B71" s="270"/>
      <c r="C71" s="223"/>
      <c r="D71" s="222"/>
    </row>
  </sheetData>
  <mergeCells count="24">
    <mergeCell ref="B19:C19"/>
    <mergeCell ref="D39:D40"/>
    <mergeCell ref="B29:C29"/>
    <mergeCell ref="B30:C30"/>
    <mergeCell ref="B31:C31"/>
    <mergeCell ref="B32:C32"/>
    <mergeCell ref="B34:F34"/>
    <mergeCell ref="B36:F36"/>
    <mergeCell ref="B28:C28"/>
    <mergeCell ref="B16:C16"/>
    <mergeCell ref="B17:C17"/>
    <mergeCell ref="B18:C18"/>
    <mergeCell ref="B15:C15"/>
    <mergeCell ref="A2:G2"/>
    <mergeCell ref="A3:G3"/>
    <mergeCell ref="A4:G4"/>
    <mergeCell ref="B6:G6"/>
    <mergeCell ref="B7:G7"/>
    <mergeCell ref="A9:A14"/>
    <mergeCell ref="B10:C10"/>
    <mergeCell ref="B11:C11"/>
    <mergeCell ref="B12:C12"/>
    <mergeCell ref="B13:C13"/>
    <mergeCell ref="B14:C14"/>
  </mergeCells>
  <pageMargins left="0.7" right="0.7" top="0.75" bottom="0.75" header="0.3" footer="0.3"/>
  <pageSetup paperSize="8" scale="80" orientation="landscape" r:id="rId1"/>
  <rowBreaks count="1" manualBreakCount="1">
    <brk id="2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</vt:i4>
      </vt:variant>
    </vt:vector>
  </HeadingPairs>
  <TitlesOfParts>
    <vt:vector size="16" baseType="lpstr">
      <vt:lpstr>címrend</vt:lpstr>
      <vt:lpstr>összevont ktgvetési mérleg</vt:lpstr>
      <vt:lpstr> KESZI ktgvetési mérleg</vt:lpstr>
      <vt:lpstr>CSGYK ktgvetési mérleg</vt:lpstr>
      <vt:lpstr>Társulás ktgvetési mérleg</vt:lpstr>
      <vt:lpstr>egyensúly</vt:lpstr>
      <vt:lpstr>Létszámok </vt:lpstr>
      <vt:lpstr>állami</vt:lpstr>
      <vt:lpstr>vagyonmérleg</vt:lpstr>
      <vt:lpstr>eredménykimutatás</vt:lpstr>
      <vt:lpstr>maradványkimutatás</vt:lpstr>
      <vt:lpstr>kiadások</vt:lpstr>
      <vt:lpstr>bevételek</vt:lpstr>
      <vt:lpstr>pénzeszköz átadások</vt:lpstr>
      <vt:lpstr>befizetések</vt:lpstr>
      <vt:lpstr>'CSGYK ktgvetési mérleg'!Nyomtatási_terület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Szabóné Molnár Ildikó</cp:lastModifiedBy>
  <cp:lastPrinted>2020-06-19T10:50:18Z</cp:lastPrinted>
  <dcterms:created xsi:type="dcterms:W3CDTF">2013-02-08T06:54:51Z</dcterms:created>
  <dcterms:modified xsi:type="dcterms:W3CDTF">2020-06-19T10:50:25Z</dcterms:modified>
</cp:coreProperties>
</file>