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035" windowWidth="19815" windowHeight="6885" activeTab="12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3" sheetId="6" r:id="rId6"/>
    <sheet name="4" sheetId="7" r:id="rId7"/>
    <sheet name="5" sheetId="8" r:id="rId8"/>
    <sheet name="6" sheetId="11" r:id="rId9"/>
    <sheet name="7" sheetId="12" r:id="rId10"/>
    <sheet name="8" sheetId="13" r:id="rId11"/>
    <sheet name="9" sheetId="14" r:id="rId12"/>
    <sheet name="tagdíjak (2)" sheetId="18" r:id="rId13"/>
    <sheet name="Munka1" sheetId="15" r:id="rId14"/>
  </sheets>
  <externalReferences>
    <externalReference r:id="rId15"/>
    <externalReference r:id="rId16"/>
    <externalReference r:id="rId17"/>
  </externalReferences>
  <calcPr calcId="145621"/>
</workbook>
</file>

<file path=xl/calcChain.xml><?xml version="1.0" encoding="utf-8"?>
<calcChain xmlns="http://schemas.openxmlformats.org/spreadsheetml/2006/main">
  <c r="M29" i="12" l="1"/>
  <c r="F16" i="12"/>
  <c r="C70" i="18" l="1"/>
  <c r="E68" i="18"/>
  <c r="D68" i="18"/>
  <c r="E67" i="18"/>
  <c r="D67" i="18"/>
  <c r="E66" i="18"/>
  <c r="D66" i="18"/>
  <c r="E65" i="18"/>
  <c r="D65" i="18"/>
  <c r="E64" i="18"/>
  <c r="D64" i="18"/>
  <c r="E63" i="18"/>
  <c r="D63" i="18"/>
  <c r="E62" i="18"/>
  <c r="D62" i="18"/>
  <c r="E61" i="18"/>
  <c r="D61" i="18"/>
  <c r="E60" i="18"/>
  <c r="D60" i="18"/>
  <c r="E59" i="18"/>
  <c r="D59" i="18"/>
  <c r="E58" i="18"/>
  <c r="D58" i="18"/>
  <c r="E57" i="18"/>
  <c r="D57" i="18"/>
  <c r="E56" i="18"/>
  <c r="D56" i="18"/>
  <c r="E55" i="18"/>
  <c r="D55" i="18"/>
  <c r="E54" i="18"/>
  <c r="D54" i="18"/>
  <c r="E53" i="18"/>
  <c r="D53" i="18"/>
  <c r="E52" i="18"/>
  <c r="D52" i="18"/>
  <c r="E51" i="18"/>
  <c r="D51" i="18"/>
  <c r="E50" i="18"/>
  <c r="D50" i="18"/>
  <c r="E49" i="18"/>
  <c r="D49" i="18"/>
  <c r="E48" i="18"/>
  <c r="D48" i="18"/>
  <c r="E47" i="18"/>
  <c r="D47" i="18"/>
  <c r="E46" i="18"/>
  <c r="D46" i="18"/>
  <c r="E45" i="18"/>
  <c r="D45" i="18"/>
  <c r="E44" i="18"/>
  <c r="D44" i="18"/>
  <c r="E43" i="18"/>
  <c r="D43" i="18"/>
  <c r="E42" i="18"/>
  <c r="D42" i="18"/>
  <c r="D70" i="18" s="1"/>
  <c r="C37" i="18"/>
  <c r="G35" i="18"/>
  <c r="F35" i="18"/>
  <c r="E35" i="18"/>
  <c r="D35" i="18"/>
  <c r="F68" i="18" s="1"/>
  <c r="G34" i="18"/>
  <c r="F34" i="18"/>
  <c r="E34" i="18"/>
  <c r="D34" i="18"/>
  <c r="F67" i="18" s="1"/>
  <c r="G33" i="18"/>
  <c r="F33" i="18"/>
  <c r="E33" i="18"/>
  <c r="D33" i="18"/>
  <c r="F66" i="18" s="1"/>
  <c r="G32" i="18"/>
  <c r="F32" i="18"/>
  <c r="E32" i="18"/>
  <c r="D32" i="18"/>
  <c r="F65" i="18" s="1"/>
  <c r="G31" i="18"/>
  <c r="F31" i="18"/>
  <c r="E31" i="18"/>
  <c r="D31" i="18"/>
  <c r="F64" i="18" s="1"/>
  <c r="G30" i="18"/>
  <c r="F30" i="18"/>
  <c r="E30" i="18"/>
  <c r="D30" i="18"/>
  <c r="F63" i="18" s="1"/>
  <c r="G29" i="18"/>
  <c r="F29" i="18"/>
  <c r="E29" i="18"/>
  <c r="D29" i="18"/>
  <c r="F62" i="18" s="1"/>
  <c r="G28" i="18"/>
  <c r="F28" i="18"/>
  <c r="E28" i="18"/>
  <c r="D28" i="18"/>
  <c r="F61" i="18" s="1"/>
  <c r="G27" i="18"/>
  <c r="F27" i="18"/>
  <c r="E27" i="18"/>
  <c r="D27" i="18"/>
  <c r="F60" i="18" s="1"/>
  <c r="G26" i="18"/>
  <c r="F26" i="18"/>
  <c r="E26" i="18"/>
  <c r="D26" i="18"/>
  <c r="F59" i="18" s="1"/>
  <c r="G25" i="18"/>
  <c r="F25" i="18"/>
  <c r="E25" i="18"/>
  <c r="D25" i="18"/>
  <c r="F58" i="18" s="1"/>
  <c r="G24" i="18"/>
  <c r="F24" i="18"/>
  <c r="E24" i="18"/>
  <c r="D24" i="18"/>
  <c r="F57" i="18" s="1"/>
  <c r="G23" i="18"/>
  <c r="F23" i="18"/>
  <c r="E23" i="18"/>
  <c r="D23" i="18"/>
  <c r="F56" i="18" s="1"/>
  <c r="G22" i="18"/>
  <c r="F22" i="18"/>
  <c r="E22" i="18"/>
  <c r="D22" i="18"/>
  <c r="F55" i="18" s="1"/>
  <c r="G21" i="18"/>
  <c r="F21" i="18"/>
  <c r="E21" i="18"/>
  <c r="D21" i="18"/>
  <c r="F54" i="18" s="1"/>
  <c r="G20" i="18"/>
  <c r="F20" i="18"/>
  <c r="E20" i="18"/>
  <c r="D20" i="18"/>
  <c r="F53" i="18" s="1"/>
  <c r="G19" i="18"/>
  <c r="F19" i="18"/>
  <c r="E19" i="18"/>
  <c r="D19" i="18"/>
  <c r="F52" i="18" s="1"/>
  <c r="G18" i="18"/>
  <c r="F18" i="18"/>
  <c r="E18" i="18"/>
  <c r="D18" i="18"/>
  <c r="F51" i="18" s="1"/>
  <c r="G17" i="18"/>
  <c r="F17" i="18"/>
  <c r="E17" i="18"/>
  <c r="D17" i="18"/>
  <c r="G16" i="18"/>
  <c r="F16" i="18"/>
  <c r="E16" i="18"/>
  <c r="D16" i="18"/>
  <c r="F49" i="18" s="1"/>
  <c r="G15" i="18"/>
  <c r="F15" i="18"/>
  <c r="E15" i="18"/>
  <c r="D15" i="18"/>
  <c r="F48" i="18" s="1"/>
  <c r="G14" i="18"/>
  <c r="F14" i="18"/>
  <c r="E14" i="18"/>
  <c r="D14" i="18"/>
  <c r="F47" i="18" s="1"/>
  <c r="G13" i="18"/>
  <c r="F13" i="18"/>
  <c r="E13" i="18"/>
  <c r="D13" i="18"/>
  <c r="F46" i="18" s="1"/>
  <c r="G12" i="18"/>
  <c r="F12" i="18"/>
  <c r="E12" i="18"/>
  <c r="D12" i="18"/>
  <c r="F45" i="18" s="1"/>
  <c r="G11" i="18"/>
  <c r="F11" i="18"/>
  <c r="E11" i="18"/>
  <c r="D11" i="18"/>
  <c r="F44" i="18" s="1"/>
  <c r="A11" i="18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G10" i="18"/>
  <c r="F10" i="18"/>
  <c r="E10" i="18"/>
  <c r="D10" i="18"/>
  <c r="F43" i="18" s="1"/>
  <c r="A10" i="18"/>
  <c r="G9" i="18"/>
  <c r="G37" i="18" s="1"/>
  <c r="F9" i="18"/>
  <c r="E9" i="18"/>
  <c r="D9" i="18"/>
  <c r="E70" i="18" l="1"/>
  <c r="D37" i="18"/>
  <c r="C20" i="11" s="1"/>
  <c r="E37" i="18"/>
  <c r="F37" i="18"/>
  <c r="F50" i="18"/>
  <c r="F42" i="18"/>
  <c r="F70" i="18" l="1"/>
  <c r="C22" i="11"/>
  <c r="D20" i="11" s="1"/>
  <c r="E30" i="2"/>
  <c r="N25" i="12"/>
  <c r="D25" i="12"/>
  <c r="H15" i="7"/>
  <c r="H17" i="12"/>
  <c r="J17" i="12"/>
  <c r="H27" i="12"/>
  <c r="F27" i="12"/>
  <c r="E27" i="12"/>
  <c r="D27" i="12"/>
  <c r="E18" i="12"/>
  <c r="O18" i="12"/>
  <c r="C51" i="12"/>
  <c r="O44" i="12"/>
  <c r="C16" i="4"/>
  <c r="H19" i="2" l="1"/>
  <c r="H16" i="2"/>
  <c r="H52" i="3"/>
  <c r="H47" i="3"/>
  <c r="H46" i="3"/>
  <c r="H45" i="3"/>
  <c r="H44" i="3"/>
  <c r="H43" i="3"/>
  <c r="H42" i="3"/>
  <c r="H41" i="3"/>
  <c r="H40" i="3"/>
  <c r="H39" i="3"/>
  <c r="H38" i="3"/>
  <c r="H37" i="3"/>
  <c r="E19" i="14" l="1"/>
  <c r="D17" i="14"/>
  <c r="E26" i="14"/>
  <c r="E25" i="14"/>
  <c r="B13" i="13"/>
  <c r="K75" i="12"/>
  <c r="M75" i="12"/>
  <c r="J75" i="12"/>
  <c r="G75" i="12"/>
  <c r="D75" i="12"/>
  <c r="M66" i="12"/>
  <c r="L65" i="12"/>
  <c r="G65" i="12"/>
  <c r="L64" i="12"/>
  <c r="O64" i="12" s="1"/>
  <c r="G64" i="12"/>
  <c r="O76" i="12"/>
  <c r="O75" i="12"/>
  <c r="O74" i="12"/>
  <c r="P74" i="12" s="1"/>
  <c r="O73" i="12"/>
  <c r="O68" i="12"/>
  <c r="O67" i="12"/>
  <c r="O66" i="12"/>
  <c r="O65" i="12"/>
  <c r="O52" i="12"/>
  <c r="L51" i="12"/>
  <c r="G51" i="12"/>
  <c r="J51" i="12"/>
  <c r="D51" i="12"/>
  <c r="O51" i="12" s="1"/>
  <c r="M50" i="12"/>
  <c r="O50" i="12"/>
  <c r="O49" i="12"/>
  <c r="O43" i="12"/>
  <c r="O42" i="12"/>
  <c r="L41" i="12"/>
  <c r="G41" i="12"/>
  <c r="O41" i="12"/>
  <c r="L40" i="12"/>
  <c r="G40" i="12"/>
  <c r="O40" i="12"/>
  <c r="G17" i="12"/>
  <c r="O27" i="12"/>
  <c r="O25" i="12"/>
  <c r="P25" i="12" s="1"/>
  <c r="O26" i="12"/>
  <c r="B18" i="12"/>
  <c r="O17" i="12"/>
  <c r="C17" i="12"/>
  <c r="B17" i="12"/>
  <c r="O16" i="12"/>
  <c r="C15" i="12"/>
  <c r="O15" i="12"/>
  <c r="C45" i="11"/>
  <c r="C44" i="11"/>
  <c r="C31" i="11"/>
  <c r="C30" i="11"/>
  <c r="C29" i="11"/>
  <c r="C33" i="5"/>
  <c r="N27" i="12" s="1"/>
  <c r="C29" i="5"/>
  <c r="C26" i="5"/>
  <c r="N26" i="12" s="1"/>
  <c r="C17" i="5"/>
  <c r="C14" i="5"/>
  <c r="C14" i="12"/>
  <c r="O14" i="12"/>
  <c r="M14" i="12"/>
  <c r="G14" i="12"/>
  <c r="F14" i="12"/>
  <c r="E14" i="12"/>
  <c r="D14" i="12"/>
  <c r="B14" i="12"/>
  <c r="O13" i="12"/>
  <c r="C13" i="12"/>
  <c r="G13" i="12"/>
  <c r="F13" i="12"/>
  <c r="E13" i="12"/>
  <c r="D13" i="12"/>
  <c r="B13" i="12"/>
  <c r="E28" i="14" l="1"/>
  <c r="P27" i="12"/>
  <c r="P26" i="12"/>
  <c r="C28" i="11"/>
  <c r="C27" i="11"/>
  <c r="C26" i="11"/>
  <c r="C25" i="11"/>
  <c r="C24" i="11"/>
  <c r="C23" i="11"/>
  <c r="E21" i="8" l="1"/>
  <c r="D21" i="8"/>
  <c r="F19" i="8"/>
  <c r="C23" i="7"/>
  <c r="H13" i="7"/>
  <c r="G13" i="7"/>
  <c r="D13" i="7"/>
  <c r="D19" i="8" s="1"/>
  <c r="C13" i="7"/>
  <c r="B18" i="2"/>
  <c r="B15" i="2"/>
  <c r="B13" i="2"/>
  <c r="B12" i="2"/>
  <c r="B11" i="2"/>
  <c r="C13" i="5"/>
  <c r="C12" i="5"/>
  <c r="B33" i="5"/>
  <c r="B29" i="5"/>
  <c r="B28" i="5"/>
  <c r="B26" i="5"/>
  <c r="B24" i="5"/>
  <c r="B20" i="5"/>
  <c r="B17" i="5"/>
  <c r="B16" i="5"/>
  <c r="B15" i="5"/>
  <c r="B14" i="5"/>
  <c r="B13" i="5"/>
  <c r="B12" i="5"/>
  <c r="C41" i="4"/>
  <c r="C39" i="4"/>
  <c r="D14" i="7" s="1"/>
  <c r="D20" i="8" s="1"/>
  <c r="C38" i="4"/>
  <c r="C36" i="4"/>
  <c r="B40" i="4"/>
  <c r="B38" i="4"/>
  <c r="B42" i="4" s="1"/>
  <c r="C30" i="4"/>
  <c r="E27" i="8" s="1"/>
  <c r="C25" i="4"/>
  <c r="E14" i="7" s="1"/>
  <c r="C22" i="4"/>
  <c r="D16" i="4"/>
  <c r="C15" i="4"/>
  <c r="C14" i="4"/>
  <c r="C13" i="4"/>
  <c r="C12" i="4"/>
  <c r="B29" i="4"/>
  <c r="B32" i="4" s="1"/>
  <c r="B25" i="4"/>
  <c r="B15" i="4"/>
  <c r="B18" i="4" s="1"/>
  <c r="B20" i="4" s="1"/>
  <c r="C46" i="3"/>
  <c r="C40" i="3"/>
  <c r="B48" i="3"/>
  <c r="C22" i="3"/>
  <c r="D22" i="3" s="1"/>
  <c r="C30" i="3"/>
  <c r="I13" i="7" s="1"/>
  <c r="B26" i="3"/>
  <c r="C25" i="3"/>
  <c r="C26" i="3" s="1"/>
  <c r="C16" i="3"/>
  <c r="C15" i="3"/>
  <c r="C14" i="3"/>
  <c r="D13" i="6" s="1"/>
  <c r="C13" i="3"/>
  <c r="C13" i="6" s="1"/>
  <c r="C12" i="3"/>
  <c r="B13" i="6" s="1"/>
  <c r="B25" i="3"/>
  <c r="B22" i="3"/>
  <c r="B15" i="3"/>
  <c r="B14" i="2" s="1"/>
  <c r="C14" i="7" l="1"/>
  <c r="C20" i="8" s="1"/>
  <c r="E26" i="8"/>
  <c r="D25" i="4"/>
  <c r="E13" i="7"/>
  <c r="E19" i="8" s="1"/>
  <c r="I14" i="7"/>
  <c r="C26" i="4"/>
  <c r="D26" i="4" s="1"/>
  <c r="I15" i="7"/>
  <c r="B32" i="5"/>
  <c r="B35" i="5" s="1"/>
  <c r="B19" i="5"/>
  <c r="B22" i="5" s="1"/>
  <c r="B18" i="3"/>
  <c r="B20" i="3" s="1"/>
  <c r="D16" i="3"/>
  <c r="B29" i="3"/>
  <c r="B32" i="3" s="1"/>
  <c r="D25" i="3"/>
  <c r="D25" i="14" l="1"/>
  <c r="D24" i="14"/>
  <c r="D23" i="14"/>
  <c r="N68" i="12"/>
  <c r="P68" i="12" s="1"/>
  <c r="N44" i="12"/>
  <c r="P44" i="12" s="1"/>
  <c r="B18" i="13"/>
  <c r="B31" i="13" s="1"/>
  <c r="C13" i="13"/>
  <c r="C16" i="11"/>
  <c r="B42" i="5" l="1"/>
  <c r="E16" i="14" l="1"/>
  <c r="E15" i="14"/>
  <c r="E14" i="14"/>
  <c r="E13" i="14"/>
  <c r="E12" i="14"/>
  <c r="D18" i="13"/>
  <c r="D31" i="13" s="1"/>
  <c r="C18" i="13"/>
  <c r="C31" i="13" s="1"/>
  <c r="M77" i="12"/>
  <c r="L77" i="12"/>
  <c r="K77" i="12"/>
  <c r="J77" i="12"/>
  <c r="I77" i="12"/>
  <c r="H77" i="12"/>
  <c r="G77" i="12"/>
  <c r="F77" i="12"/>
  <c r="E77" i="12"/>
  <c r="D77" i="12"/>
  <c r="C77" i="12"/>
  <c r="B77" i="12"/>
  <c r="N73" i="12"/>
  <c r="P73" i="12" s="1"/>
  <c r="J69" i="12"/>
  <c r="H69" i="12"/>
  <c r="F69" i="12"/>
  <c r="D69" i="12"/>
  <c r="B69" i="12"/>
  <c r="N66" i="12"/>
  <c r="P66" i="12" s="1"/>
  <c r="N65" i="12"/>
  <c r="P65" i="12" s="1"/>
  <c r="M69" i="12"/>
  <c r="L69" i="12"/>
  <c r="K69" i="12"/>
  <c r="I69" i="12"/>
  <c r="G69" i="12"/>
  <c r="E69" i="12"/>
  <c r="C69" i="12"/>
  <c r="N64" i="12"/>
  <c r="P64" i="12" s="1"/>
  <c r="M53" i="12"/>
  <c r="L53" i="12"/>
  <c r="K53" i="12"/>
  <c r="J53" i="12"/>
  <c r="I53" i="12"/>
  <c r="H53" i="12"/>
  <c r="G53" i="12"/>
  <c r="F53" i="12"/>
  <c r="E53" i="12"/>
  <c r="D53" i="12"/>
  <c r="C53" i="12"/>
  <c r="B53" i="12"/>
  <c r="N49" i="12"/>
  <c r="P49" i="12" s="1"/>
  <c r="K45" i="12"/>
  <c r="C45" i="12"/>
  <c r="N42" i="12"/>
  <c r="P42" i="12" s="1"/>
  <c r="M45" i="12"/>
  <c r="N41" i="12"/>
  <c r="P41" i="12" s="1"/>
  <c r="L45" i="12"/>
  <c r="J45" i="12"/>
  <c r="I45" i="12"/>
  <c r="H45" i="12"/>
  <c r="G45" i="12"/>
  <c r="F45" i="12"/>
  <c r="E45" i="12"/>
  <c r="D45" i="12"/>
  <c r="B45" i="12"/>
  <c r="N40" i="12"/>
  <c r="P40" i="12" s="1"/>
  <c r="Q40" i="12" s="1"/>
  <c r="L28" i="12"/>
  <c r="J28" i="12"/>
  <c r="I28" i="12"/>
  <c r="H28" i="12"/>
  <c r="G28" i="12"/>
  <c r="F28" i="12"/>
  <c r="E28" i="12"/>
  <c r="D28" i="12"/>
  <c r="C28" i="12"/>
  <c r="B28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C41" i="11"/>
  <c r="C40" i="11"/>
  <c r="C39" i="11"/>
  <c r="C17" i="11"/>
  <c r="D16" i="11" s="1"/>
  <c r="D16" i="7"/>
  <c r="N52" i="12"/>
  <c r="P52" i="12" s="1"/>
  <c r="B14" i="7"/>
  <c r="N76" i="12"/>
  <c r="P76" i="12" s="1"/>
  <c r="G16" i="7"/>
  <c r="N74" i="12"/>
  <c r="H14" i="6"/>
  <c r="D14" i="6"/>
  <c r="C14" i="6"/>
  <c r="B14" i="6"/>
  <c r="H13" i="6"/>
  <c r="B27" i="8"/>
  <c r="B26" i="8"/>
  <c r="B20" i="8"/>
  <c r="F22" i="8"/>
  <c r="C19" i="8"/>
  <c r="D12" i="8"/>
  <c r="C12" i="8"/>
  <c r="B12" i="8"/>
  <c r="D11" i="8"/>
  <c r="C11" i="8"/>
  <c r="B11" i="8"/>
  <c r="M28" i="12"/>
  <c r="B27" i="2"/>
  <c r="F15" i="7"/>
  <c r="E28" i="8" s="1"/>
  <c r="E29" i="8" s="1"/>
  <c r="C24" i="5"/>
  <c r="N17" i="12"/>
  <c r="P17" i="12" s="1"/>
  <c r="D13" i="8"/>
  <c r="D41" i="4"/>
  <c r="D39" i="4"/>
  <c r="N50" i="12"/>
  <c r="P50" i="12" s="1"/>
  <c r="D36" i="4"/>
  <c r="D30" i="4"/>
  <c r="D22" i="4"/>
  <c r="N43" i="12"/>
  <c r="P43" i="12" s="1"/>
  <c r="D14" i="4"/>
  <c r="D13" i="4"/>
  <c r="C48" i="3"/>
  <c r="H48" i="3" s="1"/>
  <c r="D47" i="3"/>
  <c r="D46" i="3"/>
  <c r="D45" i="3"/>
  <c r="D44" i="3"/>
  <c r="D43" i="3"/>
  <c r="D42" i="3"/>
  <c r="D41" i="3"/>
  <c r="D40" i="3"/>
  <c r="D39" i="3"/>
  <c r="D38" i="3"/>
  <c r="D30" i="3"/>
  <c r="D28" i="3"/>
  <c r="D24" i="3"/>
  <c r="D23" i="3"/>
  <c r="B13" i="7"/>
  <c r="D15" i="3"/>
  <c r="D14" i="3"/>
  <c r="D12" i="3"/>
  <c r="B30" i="2"/>
  <c r="D28" i="2"/>
  <c r="E26" i="2"/>
  <c r="D25" i="2"/>
  <c r="B24" i="2"/>
  <c r="D23" i="2"/>
  <c r="D16" i="2"/>
  <c r="B54" i="12" l="1"/>
  <c r="C54" i="12" s="1"/>
  <c r="D54" i="12" s="1"/>
  <c r="E54" i="12" s="1"/>
  <c r="F54" i="12" s="1"/>
  <c r="G54" i="12" s="1"/>
  <c r="H54" i="12" s="1"/>
  <c r="I54" i="12" s="1"/>
  <c r="J54" i="12" s="1"/>
  <c r="K54" i="12" s="1"/>
  <c r="L54" i="12" s="1"/>
  <c r="M54" i="12" s="1"/>
  <c r="J13" i="7"/>
  <c r="D38" i="4"/>
  <c r="C16" i="7"/>
  <c r="C13" i="11" s="1"/>
  <c r="C32" i="11" s="1"/>
  <c r="E16" i="7"/>
  <c r="N75" i="12"/>
  <c r="D37" i="3"/>
  <c r="D48" i="3" s="1"/>
  <c r="N45" i="12"/>
  <c r="D14" i="8"/>
  <c r="B19" i="8"/>
  <c r="H19" i="8" s="1"/>
  <c r="C18" i="3"/>
  <c r="C20" i="3" s="1"/>
  <c r="C22" i="8"/>
  <c r="B29" i="12"/>
  <c r="C29" i="12" s="1"/>
  <c r="D29" i="12" s="1"/>
  <c r="E29" i="12" s="1"/>
  <c r="F29" i="12" s="1"/>
  <c r="G29" i="12" s="1"/>
  <c r="H29" i="12" s="1"/>
  <c r="I29" i="12" s="1"/>
  <c r="J29" i="12" s="1"/>
  <c r="B78" i="12"/>
  <c r="C78" i="12" s="1"/>
  <c r="D78" i="12" s="1"/>
  <c r="E78" i="12" s="1"/>
  <c r="F78" i="12" s="1"/>
  <c r="G78" i="12" s="1"/>
  <c r="H78" i="12" s="1"/>
  <c r="I78" i="12" s="1"/>
  <c r="J78" i="12" s="1"/>
  <c r="K78" i="12" s="1"/>
  <c r="L78" i="12" s="1"/>
  <c r="M78" i="12" s="1"/>
  <c r="E30" i="14"/>
  <c r="B26" i="2"/>
  <c r="D13" i="3"/>
  <c r="E11" i="8"/>
  <c r="E13" i="6"/>
  <c r="N67" i="12"/>
  <c r="D12" i="4"/>
  <c r="D13" i="5"/>
  <c r="E12" i="8"/>
  <c r="H12" i="8" s="1"/>
  <c r="B22" i="2"/>
  <c r="D15" i="4"/>
  <c r="C18" i="4"/>
  <c r="E14" i="6"/>
  <c r="I14" i="6" s="1"/>
  <c r="C13" i="2"/>
  <c r="H13" i="2" s="1"/>
  <c r="E13" i="2"/>
  <c r="E12" i="2"/>
  <c r="D17" i="5"/>
  <c r="E15" i="2"/>
  <c r="B28" i="8"/>
  <c r="B29" i="8" s="1"/>
  <c r="H15" i="6"/>
  <c r="H16" i="6" s="1"/>
  <c r="C15" i="2"/>
  <c r="H15" i="2" s="1"/>
  <c r="C13" i="8"/>
  <c r="C14" i="8" s="1"/>
  <c r="C15" i="6"/>
  <c r="C16" i="6" s="1"/>
  <c r="C24" i="2"/>
  <c r="D26" i="5"/>
  <c r="D29" i="5"/>
  <c r="D15" i="6"/>
  <c r="D16" i="6" s="1"/>
  <c r="F16" i="7"/>
  <c r="E24" i="2"/>
  <c r="N14" i="12"/>
  <c r="P14" i="12" s="1"/>
  <c r="C12" i="2"/>
  <c r="H12" i="2" s="1"/>
  <c r="C30" i="2"/>
  <c r="D30" i="2" s="1"/>
  <c r="G22" i="8"/>
  <c r="N15" i="12"/>
  <c r="P15" i="12" s="1"/>
  <c r="B21" i="8"/>
  <c r="C22" i="2"/>
  <c r="N23" i="12"/>
  <c r="D24" i="5"/>
  <c r="E22" i="2"/>
  <c r="B15" i="7"/>
  <c r="N13" i="12"/>
  <c r="P13" i="12" s="1"/>
  <c r="B15" i="6"/>
  <c r="C11" i="2"/>
  <c r="H11" i="2" s="1"/>
  <c r="B13" i="8"/>
  <c r="D12" i="5"/>
  <c r="D22" i="8"/>
  <c r="E11" i="2"/>
  <c r="C27" i="2"/>
  <c r="I16" i="7"/>
  <c r="D14" i="5"/>
  <c r="D33" i="5"/>
  <c r="N69" i="12" l="1"/>
  <c r="P67" i="12"/>
  <c r="N77" i="12"/>
  <c r="N78" i="12" s="1"/>
  <c r="P75" i="12"/>
  <c r="B17" i="2"/>
  <c r="D15" i="2"/>
  <c r="D13" i="2"/>
  <c r="D20" i="3"/>
  <c r="D18" i="3"/>
  <c r="E14" i="8"/>
  <c r="H11" i="8"/>
  <c r="I19" i="8" s="1"/>
  <c r="B29" i="2"/>
  <c r="B32" i="2" s="1"/>
  <c r="D18" i="4"/>
  <c r="C20" i="4"/>
  <c r="D20" i="4" s="1"/>
  <c r="I13" i="6"/>
  <c r="E16" i="6"/>
  <c r="D12" i="2"/>
  <c r="D24" i="2"/>
  <c r="K28" i="12"/>
  <c r="K29" i="12" s="1"/>
  <c r="L29" i="12" s="1"/>
  <c r="N28" i="12"/>
  <c r="E29" i="2"/>
  <c r="E32" i="2" s="1"/>
  <c r="B22" i="8"/>
  <c r="H21" i="8"/>
  <c r="B16" i="6"/>
  <c r="B14" i="8"/>
  <c r="D27" i="2"/>
  <c r="D11" i="2"/>
  <c r="J15" i="7"/>
  <c r="B16" i="7"/>
  <c r="D22" i="2"/>
  <c r="B20" i="2" l="1"/>
  <c r="C28" i="5" l="1"/>
  <c r="C26" i="2" l="1"/>
  <c r="D28" i="5"/>
  <c r="C32" i="5"/>
  <c r="C35" i="5" s="1"/>
  <c r="C40" i="4"/>
  <c r="D35" i="5" l="1"/>
  <c r="C27" i="3"/>
  <c r="H14" i="7"/>
  <c r="D40" i="4"/>
  <c r="C42" i="4"/>
  <c r="D42" i="4" s="1"/>
  <c r="D26" i="2"/>
  <c r="C29" i="2"/>
  <c r="C32" i="2" l="1"/>
  <c r="D29" i="2"/>
  <c r="C29" i="3"/>
  <c r="D27" i="3"/>
  <c r="C43" i="11"/>
  <c r="E20" i="8"/>
  <c r="H16" i="7"/>
  <c r="N51" i="12"/>
  <c r="J14" i="7"/>
  <c r="J16" i="7" s="1"/>
  <c r="C16" i="5"/>
  <c r="D32" i="2" l="1"/>
  <c r="E22" i="8"/>
  <c r="H20" i="8"/>
  <c r="H22" i="8" s="1"/>
  <c r="P51" i="12"/>
  <c r="N53" i="12"/>
  <c r="N54" i="12" s="1"/>
  <c r="D16" i="5"/>
  <c r="C32" i="3"/>
  <c r="D32" i="3" s="1"/>
  <c r="D29" i="3"/>
  <c r="C27" i="4" l="1"/>
  <c r="D27" i="4" l="1"/>
  <c r="C29" i="4"/>
  <c r="C42" i="11"/>
  <c r="C46" i="11" s="1"/>
  <c r="C32" i="4" l="1"/>
  <c r="D32" i="4" s="1"/>
  <c r="D29" i="4"/>
  <c r="C15" i="5" l="1"/>
  <c r="G15" i="6" l="1"/>
  <c r="D15" i="5"/>
  <c r="E14" i="2"/>
  <c r="E17" i="2" s="1"/>
  <c r="G13" i="8"/>
  <c r="C14" i="2"/>
  <c r="N16" i="12"/>
  <c r="C19" i="5"/>
  <c r="G14" i="8" l="1"/>
  <c r="D19" i="5"/>
  <c r="P16" i="12"/>
  <c r="H14" i="2"/>
  <c r="D14" i="2"/>
  <c r="C17" i="2"/>
  <c r="G16" i="6"/>
  <c r="D17" i="2" l="1"/>
  <c r="H17" i="2"/>
  <c r="C20" i="5" l="1"/>
  <c r="C18" i="2" l="1"/>
  <c r="D20" i="5"/>
  <c r="E18" i="2"/>
  <c r="E20" i="2" s="1"/>
  <c r="F13" i="8"/>
  <c r="N18" i="12"/>
  <c r="F15" i="6"/>
  <c r="C22" i="5"/>
  <c r="D22" i="5" s="1"/>
  <c r="F14" i="8" l="1"/>
  <c r="H13" i="8"/>
  <c r="H14" i="8" s="1"/>
  <c r="F16" i="6"/>
  <c r="I15" i="6"/>
  <c r="P18" i="12"/>
  <c r="N19" i="12"/>
  <c r="D18" i="2"/>
  <c r="H18" i="2"/>
  <c r="C20" i="2"/>
  <c r="I16" i="6" l="1"/>
  <c r="K15" i="7"/>
  <c r="H20" i="2"/>
  <c r="D20" i="2"/>
</calcChain>
</file>

<file path=xl/sharedStrings.xml><?xml version="1.0" encoding="utf-8"?>
<sst xmlns="http://schemas.openxmlformats.org/spreadsheetml/2006/main" count="757" uniqueCount="360">
  <si>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</si>
  <si>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</si>
  <si>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</si>
  <si>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</si>
  <si>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</si>
  <si>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</si>
  <si>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</si>
  <si>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</si>
  <si>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</si>
  <si>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</si>
  <si>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</si>
  <si>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</si>
  <si>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</si>
  <si>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</si>
  <si>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MOSONMAGYARÓVÁRI TÖBBCÉLÚ KISTÉRSÉGI TÁRSULÁS ÉS KÖLTSÉGVETÉSI SZERVEI</t>
  </si>
  <si>
    <t>kötelező</t>
  </si>
  <si>
    <t>önként</t>
  </si>
  <si>
    <t>eredeti</t>
  </si>
  <si>
    <t>Rovatrend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</si>
  <si>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</si>
  <si>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</si>
  <si>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</si>
  <si>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</si>
  <si>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</si>
  <si>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</si>
  <si>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</si>
  <si>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</si>
  <si>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</si>
  <si>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</si>
  <si>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</si>
  <si>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</si>
  <si>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</si>
  <si>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</si>
  <si>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K512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</si>
  <si>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</si>
  <si>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</si>
  <si>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</si>
  <si>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</si>
  <si>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</si>
  <si>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</si>
  <si>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</si>
  <si>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</si>
  <si>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</si>
  <si>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</si>
  <si>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</si>
  <si>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</si>
  <si>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</si>
  <si>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</si>
  <si>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</si>
  <si>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</si>
  <si>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</si>
  <si>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</si>
  <si>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</si>
  <si>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</si>
  <si>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</si>
  <si>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</si>
  <si>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</si>
  <si>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</si>
  <si>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</si>
  <si>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</si>
  <si>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</si>
  <si>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</si>
  <si>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</si>
  <si>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</si>
  <si>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</si>
  <si>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</si>
  <si>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2./C SZÁMÚ MELLÉKLET</t>
  </si>
  <si>
    <t>Felügyeleti szervtől átvett támogatás</t>
  </si>
  <si>
    <t>Szociális és gyermekjóléti alapszolg., állami támogatás</t>
  </si>
  <si>
    <t>Gyermekek átmeneti int. Ellátása, állami támogatás</t>
  </si>
  <si>
    <t>Összesen</t>
  </si>
  <si>
    <t>2./D SZÁMÚ MELLÉKLET</t>
  </si>
  <si>
    <t>*</t>
  </si>
  <si>
    <t>Felügyelet alá tartozó költségvetési szerv. Támogat.</t>
  </si>
  <si>
    <t>K915</t>
  </si>
  <si>
    <t>3. SZÁMÚ MELLÉKLET</t>
  </si>
  <si>
    <t>Kiadások összefoglalása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</si>
  <si>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</si>
  <si>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</si>
  <si>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</si>
  <si>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</si>
  <si>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</si>
  <si>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</si>
  <si>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</si>
  <si>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4. SZÁMÚ MELLÉKLET</t>
  </si>
  <si>
    <t xml:space="preserve"> Bevételek összefoglalása</t>
  </si>
  <si>
    <t>Intézmény saját bevételei</t>
  </si>
  <si>
    <t>MÖK támogatás</t>
  </si>
  <si>
    <t>Egyéb támogatás értékű műk. bevétel</t>
  </si>
  <si>
    <t>Feladatfinanszírozás</t>
  </si>
  <si>
    <t>5. SZÁMÚ MELLÉKLET</t>
  </si>
  <si>
    <t>Kiadások és Bevételek működési egyensúlya</t>
  </si>
  <si>
    <t>Jogcím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</si>
  <si>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átvett</t>
    </r>
  </si>
  <si>
    <t>támogatások</t>
  </si>
  <si>
    <t>Átadó megnevezése</t>
  </si>
  <si>
    <t>Átadás célja</t>
  </si>
  <si>
    <t>Magyar Államkincstár</t>
  </si>
  <si>
    <t>Nemzeti Rehabilitációs és Szociális Hivatal</t>
  </si>
  <si>
    <t>Mosonmagyaróvár Város Önkormányzata</t>
  </si>
  <si>
    <t>Összesen:</t>
  </si>
  <si>
    <t>1. oldal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</si>
  <si>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átadandó</t>
    </r>
  </si>
  <si>
    <t>Átvevő megnevezése</t>
  </si>
  <si>
    <t>Támogatás célja</t>
  </si>
  <si>
    <t>Társulás által átadandó pénzeszköz</t>
  </si>
  <si>
    <t>Karolina Kórház - Rendelőintézet</t>
  </si>
  <si>
    <t>Orvosi gép-, műszer beszerzés támogatása</t>
  </si>
  <si>
    <t>Kistérségi Egyesített Szociális Intézet</t>
  </si>
  <si>
    <t>2. oldal</t>
  </si>
  <si>
    <t>Mosonmagyaróvári Többcélú Kistérségi Társulás Tanácsa</t>
  </si>
  <si>
    <t>Havi bontás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</si>
  <si>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</si>
  <si>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</si>
  <si>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</si>
  <si>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</si>
  <si>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</si>
  <si>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</si>
  <si>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</si>
  <si>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</si>
  <si>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</si>
  <si>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</si>
  <si>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</si>
  <si>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</si>
  <si>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</si>
  <si>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Kiadásnem</t>
  </si>
  <si>
    <t>Személyi juttatás</t>
  </si>
  <si>
    <t>Támogatások</t>
  </si>
  <si>
    <t>Beruházási kiadás</t>
  </si>
  <si>
    <t>Kiadások összesen</t>
  </si>
  <si>
    <t>Bevétel</t>
  </si>
  <si>
    <t>Egyéb támogatás</t>
  </si>
  <si>
    <t>Bevételek összesen</t>
  </si>
  <si>
    <t>Egyesített Szociális Intézet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</si>
  <si>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</si>
  <si>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</si>
  <si>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</si>
  <si>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</si>
  <si>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</si>
  <si>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</si>
  <si>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</si>
  <si>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</si>
  <si>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</si>
  <si>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</si>
  <si>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</si>
  <si>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</si>
  <si>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</si>
  <si>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</si>
  <si>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térségi társulás támogatása</t>
  </si>
  <si>
    <t>100 Ft/lakos</t>
  </si>
  <si>
    <t>20 Ft/lakos</t>
  </si>
  <si>
    <t>Kórház támogatására</t>
  </si>
  <si>
    <t>évi kétszeri befizetés</t>
  </si>
  <si>
    <t>2015. év</t>
  </si>
  <si>
    <t>Szolidaritási alap</t>
  </si>
  <si>
    <t>10 Ft/lakos</t>
  </si>
  <si>
    <t>Felújítási alap</t>
  </si>
  <si>
    <t>K5</t>
  </si>
  <si>
    <t>K513</t>
  </si>
  <si>
    <t>B16, 816</t>
  </si>
  <si>
    <t>Térségi tagdíj, felújítási alap, szolidaritási alap, orvosi gép- műszer beszerzés támogatása</t>
  </si>
  <si>
    <t>Mosonmagyaróvári Polgármesteri Hivatal</t>
  </si>
  <si>
    <t>Társulási feladatok ellátására hozzájárulás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</si>
  <si>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</si>
  <si>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</si>
  <si>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</si>
  <si>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</si>
  <si>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</si>
  <si>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</si>
  <si>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</si>
  <si>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</si>
  <si>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</si>
  <si>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</si>
  <si>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</si>
  <si>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</si>
  <si>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</si>
  <si>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</si>
  <si>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</si>
  <si>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</si>
  <si>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</si>
  <si>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</si>
  <si>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</si>
  <si>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Rovat: B113</t>
  </si>
  <si>
    <t>3.a.</t>
  </si>
  <si>
    <t>4.a</t>
  </si>
  <si>
    <t>Feladat</t>
  </si>
  <si>
    <t>Mindösszesen</t>
  </si>
  <si>
    <t>változás</t>
  </si>
  <si>
    <t>Maradvány felhasználást</t>
  </si>
  <si>
    <t>Maradvány felhasználás</t>
  </si>
  <si>
    <t>GYÁÓ bértámogatás és intézményüzemeltetési támogatás</t>
  </si>
  <si>
    <t>6. SZÁMÚ MELLÉKLET</t>
  </si>
  <si>
    <t>Civil szervezet számára Tanács döntése alapján</t>
  </si>
  <si>
    <t>Jubileumi jutalomra, felmentési bérre átadandó</t>
  </si>
  <si>
    <t>7. SZÁMÚ MELLÉKLET</t>
  </si>
  <si>
    <t>Intézményi működési bevétel</t>
  </si>
  <si>
    <t>8. számú melléklet</t>
  </si>
  <si>
    <t>9. számú melléklet</t>
  </si>
  <si>
    <t>Család és gyermekjóléti szolgálat</t>
  </si>
  <si>
    <t>3.b</t>
  </si>
  <si>
    <t>Család és gyermekjóléti központ</t>
  </si>
  <si>
    <t>Család és Gyermekjóléti Központ</t>
  </si>
  <si>
    <t>TOP-s pályázatok bevételi forrása</t>
  </si>
  <si>
    <t>Felhalmozási projekt bevétel</t>
  </si>
  <si>
    <t>tárgyévi adatok  Ft-ban</t>
  </si>
  <si>
    <t>tárgyévi adatok Ft-ban</t>
  </si>
  <si>
    <t>270 Ft/lakos</t>
  </si>
  <si>
    <t>adatok  Ft-ban</t>
  </si>
  <si>
    <t>Működési kiadások  Ft</t>
  </si>
  <si>
    <t>Működési bevételek Ft</t>
  </si>
  <si>
    <t>Felhalmozási kiadások  Ft</t>
  </si>
  <si>
    <t>Felhalmozási bevételek  Ft</t>
  </si>
  <si>
    <t>Felhalmozási és tőke jellegű bevételek, felhalmozási célú pénzeszköz átvételek</t>
  </si>
  <si>
    <t>Család- és Gyermekjóléti Szolgálat</t>
  </si>
  <si>
    <t>Család- és Gyermekjóléti Központ Hatósági és Speciális Munkacsoporot</t>
  </si>
  <si>
    <t>Gondozóház, főzőkonyha</t>
  </si>
  <si>
    <t>Idősek klubja</t>
  </si>
  <si>
    <t>FÉNI</t>
  </si>
  <si>
    <t>56/2016. (XII.12.) TT. határozat alapján</t>
  </si>
  <si>
    <t>2018. ÉVI KÖLTSÉGVETÉSI HATOZATÁHOZ</t>
  </si>
  <si>
    <t>2018. évi</t>
  </si>
  <si>
    <t>Jelzőrendszer és fejlesztő támogatás átvétele</t>
  </si>
  <si>
    <t>2018. év</t>
  </si>
  <si>
    <t>Beszedett pótlólagos hozzájárulásból intézményre osztott**</t>
  </si>
  <si>
    <t>Térségi Társulástól érkező támogatás hozzájárulások*</t>
  </si>
  <si>
    <t>előirányzat 2018.</t>
  </si>
  <si>
    <t>Gyermekjóléti szolgálat működéséhez kapcsolódó hozzájárulás</t>
  </si>
  <si>
    <t>Intézményi hiány gesztor önkormányzat támogatásával való kifinanszírozása</t>
  </si>
  <si>
    <t xml:space="preserve">Állami támogatással finanszírozott feladatok ellátásra </t>
  </si>
  <si>
    <t>Fejlesztő foglalkoztatás támogatása (gesztor önkormányzaton keresztül)</t>
  </si>
  <si>
    <t>Jelzőrendszer támogatása (gesztor önkormányzaton keresztül)</t>
  </si>
  <si>
    <t>Gesztor önkormányzati hozzájáruláson kívüli tagtelepülések hozzájárulása</t>
  </si>
  <si>
    <t xml:space="preserve">Család és Gyermekjóléti Központ működésének finanszírozásához </t>
  </si>
  <si>
    <t xml:space="preserve">Kistérségi Egyesített Szociális Intézmény működésének finanszírozásához </t>
  </si>
  <si>
    <t>Gesztor önkormányzati hozzájáruláson kívüli tagtelepülések támogatása</t>
  </si>
  <si>
    <t>Család és Gyermekjóléti központ összevont ágazati pótlék becsült összege</t>
  </si>
  <si>
    <t>Kistérségi Egyesített Szociális Intézmény összevont ágazati pótlék becsült összege</t>
  </si>
  <si>
    <t>Kistérségi Egyesített Szociális Intézmény éjjeli menedékhely becsült támogatása</t>
  </si>
  <si>
    <t>Humánerőforrás Fejlesztési Operatív Program</t>
  </si>
  <si>
    <t>Kistérségi Egyesített Szociláis Intézmény -hajléktalan szálló fejlesztése</t>
  </si>
  <si>
    <t>Működési támogatás, mely tartalmazza normatív állami támogatást, feladatalapú támogatást, MÖK hozzájárulást, tagtelepülések társulási hozzájárulást</t>
  </si>
  <si>
    <t>Működési támogatás, mely tartalmazza normatív állami támogatást, feladatalapú támogatást, MÖK hozzájárulást, tagtelepülések társulási hozzájárulását, jelzőrendszer- és fejlesztő foglalkoztatás támogatás átadását</t>
  </si>
  <si>
    <t>Magyar Államkincstár (közvetelenül intézménynél tervezve)</t>
  </si>
  <si>
    <t>2018. január 1.</t>
  </si>
  <si>
    <t>Mosonmagyaróvár Térségi Társulás (projektekhez kapcsolódó megbízási díj került betervezésre, állandó létszámhely nincs</t>
  </si>
  <si>
    <t>Felhalmozási kiadások alatt tervezett tételek</t>
  </si>
  <si>
    <t>Bruttó</t>
  </si>
  <si>
    <t>3400000 Ft/mutató</t>
  </si>
  <si>
    <t>3300000 Ft/mutató</t>
  </si>
  <si>
    <t>CSGYK bértámogatás</t>
  </si>
  <si>
    <t>társulási működésre</t>
  </si>
  <si>
    <t>Lakosságszám</t>
  </si>
  <si>
    <t>Meglévő tagdíj 270 Ft/lakos</t>
  </si>
  <si>
    <t>Település</t>
  </si>
  <si>
    <t>Ásványráró</t>
  </si>
  <si>
    <t>Bezenye</t>
  </si>
  <si>
    <t>Darnózseli</t>
  </si>
  <si>
    <t>Dunakiliti</t>
  </si>
  <si>
    <t>Dunaremete</t>
  </si>
  <si>
    <t>Dunasziget</t>
  </si>
  <si>
    <t>Feketeerdő</t>
  </si>
  <si>
    <t>Halászi</t>
  </si>
  <si>
    <t>Hegyeshalom</t>
  </si>
  <si>
    <t>Hédervár</t>
  </si>
  <si>
    <t>Jánossomorja</t>
  </si>
  <si>
    <t>Károlyháza</t>
  </si>
  <si>
    <t>Kimle</t>
  </si>
  <si>
    <t>Kisbodak</t>
  </si>
  <si>
    <t>Levél</t>
  </si>
  <si>
    <t>Lébény</t>
  </si>
  <si>
    <t>Lipót</t>
  </si>
  <si>
    <t>Máriakálnok</t>
  </si>
  <si>
    <t>Mecsér</t>
  </si>
  <si>
    <t>Mosonmagyaróvár</t>
  </si>
  <si>
    <t>Mosonszentmiklós</t>
  </si>
  <si>
    <t>Mosonszolnok</t>
  </si>
  <si>
    <t>Mosonudvar</t>
  </si>
  <si>
    <t>Püski</t>
  </si>
  <si>
    <t>Rajka</t>
  </si>
  <si>
    <t>Újrónafő</t>
  </si>
  <si>
    <t>Várbalog</t>
  </si>
  <si>
    <t>Óvodai és iskolai szociális segítő tevékenység  (2018. szeptember 1-jétől)</t>
  </si>
  <si>
    <t>adatokFt-ban</t>
  </si>
  <si>
    <t>előző évhez képest %-ban</t>
  </si>
  <si>
    <t>előző évhez képest  %-ban</t>
  </si>
  <si>
    <t>Tervezett kiadások összesítése  Ft</t>
  </si>
  <si>
    <t>Tervezett  bevételek összesítéseFt</t>
  </si>
  <si>
    <t>Összege Ft-ban</t>
  </si>
  <si>
    <t>Összege  Ft-ban</t>
  </si>
  <si>
    <t>2019. ÉVI KÖLTSÉGVETÉSI HATOZATÁHOZ</t>
  </si>
  <si>
    <t>2019. évi költségvetéséről szóló …../2019. (II….) TT. határozatához</t>
  </si>
  <si>
    <t>előirányzat 2019</t>
  </si>
  <si>
    <t>előirányzat 2019.</t>
  </si>
  <si>
    <t>2019 ÉVI KÖLTSÉGVETÉSI HATOZATÁHOZ</t>
  </si>
  <si>
    <t>Mosonmagyaróvár, 2019. január 31.</t>
  </si>
  <si>
    <t>előirányzat 2018. adatok Ft-ban</t>
  </si>
  <si>
    <t>előirányzat 2019 adatok Ft-ban</t>
  </si>
  <si>
    <t>Felhalmozási kiadások (Konyha fejlesztés miatt pinceében lévő tárolók megszűntetése helyett szekrények kialakítása 2018.11.20-án tanácsülésen engedélyezett előirányzat módosítás terhére.Konyha felújításból kimaradt 2018.09.18-i tanácsülésen engedélyezett előirányzat módosítás terhére megrendelt. Partner Service Kft-től tűzjelző rendszer kiépítése, ÓvárVill Kft.-től Energiahálózat bővítése. Csendes szoba kialakítása: Lions 300.000.-Ft ; Rotary 542.415.-Ft , 279.000.-Ft magánszemélytől )</t>
  </si>
  <si>
    <t>Irányító szervi támogatás részletezése 2018.-2019. év eredeti Ft-ban</t>
  </si>
  <si>
    <t>2019. évi</t>
  </si>
  <si>
    <t>**Az 580 Ft összegű kiegészítő tagdíj az üzemeltetési támogatás alapján meghatározott átlaglétszám szerint került felosztásra.</t>
  </si>
  <si>
    <t>2019. év</t>
  </si>
  <si>
    <t>Irányító szervi támogatás részletezése 2018.-2019. év eredeti</t>
  </si>
  <si>
    <t>Változás 2018-hoz képest</t>
  </si>
  <si>
    <t>Felhalmozási kiadások  (Fedett kerékpár tároló  kerékpártámasszal beszerzése 2018.-ban szerződést kötünk vele, maradvány terhére. Pályázatban el nem számolható tétel.)</t>
  </si>
  <si>
    <t>*Az intézmény finanszírozásába mint bevétel beszámítási kerül a gyermekjóléti szolgálatra fizetendő hozzájárulás üzemeltetési támogatás szerinti létszámarányos része.</t>
  </si>
  <si>
    <t>Konyha felújítás és eszközbeszerzés KESZI TOP pályázat+ önerő</t>
  </si>
  <si>
    <t>CSGYK felújítása és eszközbeszerzés TOP és önerő</t>
  </si>
  <si>
    <t>EFOP pályázat hajléktalanszálló fejlesztése önerővel együtt</t>
  </si>
  <si>
    <t>valamint 48/2017. (XI.07.) TT határozat alapján</t>
  </si>
  <si>
    <t>2019. év terv</t>
  </si>
  <si>
    <t>Társulás tagjai által fizetett tagdíj</t>
  </si>
  <si>
    <t>Mosonmagyaróvár Térségi Társulás*</t>
  </si>
  <si>
    <t xml:space="preserve">* A Térségi Társulásnál maradó tagok által fizetett tagdíj és hozzájárulások a következő tételekből állnak: </t>
  </si>
  <si>
    <t>- Társulás működésére (270 Ft/lakos)</t>
  </si>
  <si>
    <t>- kórházi eszközök beszerzésére (20 Ft/lakos)</t>
  </si>
  <si>
    <t>- szolidartiási alap (10 Ft/lakos)</t>
  </si>
  <si>
    <t>- felújítási alap (100 Ft/lakos)</t>
  </si>
  <si>
    <t>Mosonmagyaróvár Térségi Társulás (maradványfelhasználás, pályázati tartalék támogatások)</t>
  </si>
  <si>
    <t>intézményekre felosztva</t>
  </si>
  <si>
    <t>CSGYK megjelenítve</t>
  </si>
  <si>
    <t>Társulás kifizetés</t>
  </si>
  <si>
    <t>Gyemekjóléti szolgálat támogatása 100 Ft/lakos</t>
  </si>
  <si>
    <t>Kórházi eszközök beszerzése 20 Ft/lakos</t>
  </si>
  <si>
    <t>tartalék</t>
  </si>
  <si>
    <t>Szolidaritási alap 10 Ft/lakos</t>
  </si>
  <si>
    <t>Felújítási alap 100 Ft/lakos</t>
  </si>
  <si>
    <t>Fizetési kötelezettség összesen</t>
  </si>
  <si>
    <t>Család és Gyermekjóléti központ bérkompenzáció becsült összege</t>
  </si>
  <si>
    <t>Kistérségi Egyesített Szociális Intézmény bérkompenzáció becsült összege</t>
  </si>
  <si>
    <t>Kistérségi Egyesített Szociális Intézmény egészségügyi pótlék becsült összege</t>
  </si>
  <si>
    <t xml:space="preserve">Területi operatív program </t>
  </si>
  <si>
    <t>Kistérségi Egyesített Szociális Intézmény Konyha felújítás</t>
  </si>
  <si>
    <t>Család és Gyermekjóléti Közpnt épület felújítás</t>
  </si>
  <si>
    <t>Térségi társulás működéséhez és egyéb alapokhoz és intézmények működéséhez való hozzájárulás</t>
  </si>
  <si>
    <t>2019. ÉVI KÖLTSÉGVETÉSI HATÁROZATÁHOZ</t>
  </si>
  <si>
    <t>halmozott egyenleg</t>
  </si>
  <si>
    <t>likviditási ütemterve 2019. év Ft-ban</t>
  </si>
  <si>
    <t>likviditási ütemterve 2019. év  Ft-ban</t>
  </si>
  <si>
    <t>Mosonmagyaróvár, 2019. január 30.</t>
  </si>
  <si>
    <t>2019. évi költségvetéséről szóló határozatához</t>
  </si>
  <si>
    <t>2019. január 1.</t>
  </si>
  <si>
    <t>Éjjeli menedékhely</t>
  </si>
  <si>
    <t>Mosonmagyaróvár,2019. január 31.</t>
  </si>
  <si>
    <t>3.n.</t>
  </si>
  <si>
    <t>Óvodai és iskolai szociáis segítő tevékenység támgoatása</t>
  </si>
  <si>
    <t>Fajlagos támogatás 2018. évi L. tv. Alapján</t>
  </si>
  <si>
    <t>Állami támogatások 2019. év</t>
  </si>
  <si>
    <t>Óvodai és iskolai szociális segítő tevékenység</t>
  </si>
  <si>
    <t>Maradvány felhasználás/Társulási forrásból</t>
  </si>
  <si>
    <t>1223 Ft/lakos</t>
  </si>
  <si>
    <t>kiegészítő hozzájárulás (580 Ft+643 Ft)</t>
  </si>
  <si>
    <t>Mosonmagyaróvár Térségi Társulás tagjai által fizetendő hozzájárulások, tagdjíak 2019. év</t>
  </si>
  <si>
    <t>580 Ft + 643 Ft/lakos=1 223 Ft/lakos</t>
  </si>
  <si>
    <t>10. számú melléklet</t>
  </si>
  <si>
    <t>összes gesztor Önk. Támogatás</t>
  </si>
  <si>
    <t>gesztor Önk. Kívüli tagtelepülési támogatások</t>
  </si>
  <si>
    <t xml:space="preserve">Kistérségi Egyesített Szociális Intézmény működésének támogatása működési hiány finanszírozása </t>
  </si>
  <si>
    <t xml:space="preserve">Család és Gyermekjóléti Központ működési hiány finanszírozása </t>
  </si>
  <si>
    <t>Család és Gyermekjóléti Központ valamint a Kistérségi Egyesített Szociális Intézmény működésének finanszírozása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</si>
</sst>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F_t_-;\-* #,##0.00\ _F_t_-;_-* &quot;-&quot;??\ _F_t_-;_-@_-"/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  <numFmt numFmtId="172" formatCode="_-* #,##0\ _F_t_-;\-* #,##0\ _F_t_-;_-* &quot;-&quot;??\ _F_t_-;_-@_-"/>
    <numFmt numFmtId="173" formatCode="#,##0.00\ &quot;Ft&quot;"/>
  </numFmts>
  <fonts count="38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BEEF4"/>
        <bgColor rgb="FFDBEEF4"/>
      </patternFill>
    </fill>
    <fill>
      <patternFill patternType="solid">
        <fgColor rgb="FFFCD5B5"/>
        <bgColor rgb="FFFCD5B5"/>
      </patternFill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169" fontId="5" fillId="0" borderId="0" applyFont="0" applyFill="0" applyBorder="0" applyAlignment="0" applyProtection="0"/>
    <xf numFmtId="168" fontId="6" fillId="0" borderId="0" applyBorder="0" applyProtection="0"/>
    <xf numFmtId="164" fontId="6" fillId="0" borderId="0" applyBorder="0" applyProtection="0"/>
    <xf numFmtId="0" fontId="7" fillId="0" borderId="0" applyNumberFormat="0" applyBorder="0" applyProtection="0">
      <alignment horizontal="center"/>
    </xf>
    <xf numFmtId="0" fontId="7" fillId="0" borderId="0" applyNumberFormat="0" applyBorder="0" applyProtection="0">
      <alignment horizontal="center" textRotation="90"/>
    </xf>
    <xf numFmtId="164" fontId="8" fillId="0" borderId="0" applyBorder="0" applyProtection="0"/>
    <xf numFmtId="164" fontId="8" fillId="0" borderId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9" fillId="0" borderId="0" applyNumberFormat="0" applyBorder="0" applyProtection="0"/>
    <xf numFmtId="170" fontId="9" fillId="0" borderId="0" applyBorder="0" applyProtection="0"/>
    <xf numFmtId="9" fontId="5" fillId="0" borderId="0" applyFont="0" applyFill="0" applyBorder="0" applyAlignment="0" applyProtection="0"/>
    <xf numFmtId="0" fontId="4" fillId="0" borderId="0"/>
    <xf numFmtId="0" fontId="3" fillId="0" borderId="0"/>
    <xf numFmtId="0" fontId="3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4">
    <xf numFmtId="0" fontId="0" fillId="0" borderId="0" xfId="0"/>
    <xf numFmtId="164" fontId="6" fillId="0" borderId="0" xfId="3" applyFont="1" applyFill="1" applyAlignment="1"/>
    <xf numFmtId="164" fontId="10" fillId="0" borderId="0" xfId="3" applyFont="1" applyFill="1" applyAlignment="1"/>
    <xf numFmtId="164" fontId="10" fillId="0" borderId="0" xfId="3" applyFont="1" applyFill="1" applyAlignment="1">
      <alignment horizontal="center"/>
    </xf>
    <xf numFmtId="164" fontId="12" fillId="0" borderId="0" xfId="3" applyFont="1" applyFill="1" applyAlignment="1">
      <alignment horizontal="center"/>
    </xf>
    <xf numFmtId="164" fontId="11" fillId="0" borderId="1" xfId="3" applyFont="1" applyFill="1" applyBorder="1" applyAlignment="1">
      <alignment horizontal="center" vertical="top" wrapText="1"/>
    </xf>
    <xf numFmtId="164" fontId="11" fillId="0" borderId="2" xfId="3" applyFont="1" applyFill="1" applyBorder="1" applyAlignment="1">
      <alignment horizontal="center" vertical="top" wrapText="1"/>
    </xf>
    <xf numFmtId="164" fontId="13" fillId="0" borderId="3" xfId="3" applyFont="1" applyFill="1" applyBorder="1" applyAlignment="1">
      <alignment horizontal="center" vertical="top" wrapText="1"/>
    </xf>
    <xf numFmtId="164" fontId="13" fillId="0" borderId="4" xfId="3" applyFont="1" applyFill="1" applyBorder="1" applyAlignment="1">
      <alignment horizontal="justify" vertical="top" wrapText="1"/>
    </xf>
    <xf numFmtId="164" fontId="13" fillId="0" borderId="2" xfId="3" applyFont="1" applyFill="1" applyBorder="1" applyAlignment="1">
      <alignment horizontal="justify" vertical="top" wrapText="1"/>
    </xf>
    <xf numFmtId="164" fontId="13" fillId="0" borderId="5" xfId="3" applyFont="1" applyFill="1" applyBorder="1" applyAlignment="1">
      <alignment horizontal="center" vertical="top" wrapText="1"/>
    </xf>
    <xf numFmtId="164" fontId="13" fillId="0" borderId="0" xfId="3" applyFont="1" applyFill="1" applyAlignment="1">
      <alignment horizontal="justify"/>
    </xf>
    <xf numFmtId="164" fontId="14" fillId="0" borderId="0" xfId="3" applyFont="1" applyFill="1" applyAlignment="1">
      <alignment horizontal="center"/>
    </xf>
    <xf numFmtId="164" fontId="15" fillId="2" borderId="0" xfId="3" applyFont="1" applyFill="1" applyAlignment="1">
      <alignment horizontal="center" wrapText="1"/>
    </xf>
    <xf numFmtId="164" fontId="16" fillId="0" borderId="7" xfId="3" applyFont="1" applyFill="1" applyBorder="1" applyAlignment="1">
      <alignment horizontal="center"/>
    </xf>
    <xf numFmtId="164" fontId="10" fillId="0" borderId="7" xfId="3" applyFont="1" applyFill="1" applyBorder="1" applyAlignment="1">
      <alignment horizontal="center"/>
    </xf>
    <xf numFmtId="164" fontId="16" fillId="0" borderId="8" xfId="3" applyFont="1" applyFill="1" applyBorder="1" applyAlignment="1">
      <alignment horizontal="center"/>
    </xf>
    <xf numFmtId="164" fontId="16" fillId="0" borderId="8" xfId="3" applyFont="1" applyFill="1" applyBorder="1" applyAlignment="1">
      <alignment horizontal="center" wrapText="1"/>
    </xf>
    <xf numFmtId="164" fontId="10" fillId="0" borderId="9" xfId="3" applyFont="1" applyFill="1" applyBorder="1" applyAlignment="1">
      <alignment horizontal="center"/>
    </xf>
    <xf numFmtId="164" fontId="17" fillId="0" borderId="10" xfId="3" applyFont="1" applyFill="1" applyBorder="1" applyAlignment="1"/>
    <xf numFmtId="166" fontId="17" fillId="0" borderId="10" xfId="3" applyNumberFormat="1" applyFont="1" applyFill="1" applyBorder="1" applyAlignment="1"/>
    <xf numFmtId="164" fontId="6" fillId="0" borderId="10" xfId="3" applyFont="1" applyFill="1" applyBorder="1" applyAlignment="1"/>
    <xf numFmtId="164" fontId="6" fillId="0" borderId="10" xfId="3" applyFont="1" applyFill="1" applyBorder="1" applyAlignment="1">
      <alignment wrapText="1"/>
    </xf>
    <xf numFmtId="166" fontId="17" fillId="0" borderId="11" xfId="3" applyNumberFormat="1" applyFont="1" applyFill="1" applyBorder="1" applyAlignment="1"/>
    <xf numFmtId="164" fontId="16" fillId="3" borderId="10" xfId="3" applyFont="1" applyFill="1" applyBorder="1" applyAlignment="1"/>
    <xf numFmtId="166" fontId="16" fillId="3" borderId="10" xfId="3" applyNumberFormat="1" applyFont="1" applyFill="1" applyBorder="1" applyAlignment="1"/>
    <xf numFmtId="166" fontId="16" fillId="3" borderId="11" xfId="3" applyNumberFormat="1" applyFont="1" applyFill="1" applyBorder="1" applyAlignment="1"/>
    <xf numFmtId="166" fontId="17" fillId="4" borderId="10" xfId="3" applyNumberFormat="1" applyFont="1" applyFill="1" applyBorder="1" applyAlignment="1"/>
    <xf numFmtId="166" fontId="16" fillId="0" borderId="10" xfId="3" applyNumberFormat="1" applyFont="1" applyFill="1" applyBorder="1" applyAlignment="1"/>
    <xf numFmtId="166" fontId="16" fillId="0" borderId="11" xfId="3" applyNumberFormat="1" applyFont="1" applyFill="1" applyBorder="1" applyAlignment="1"/>
    <xf numFmtId="166" fontId="17" fillId="0" borderId="0" xfId="3" applyNumberFormat="1" applyFont="1" applyFill="1" applyAlignment="1"/>
    <xf numFmtId="164" fontId="18" fillId="0" borderId="10" xfId="3" applyFont="1" applyFill="1" applyBorder="1" applyAlignment="1"/>
    <xf numFmtId="164" fontId="17" fillId="0" borderId="0" xfId="3" applyFont="1" applyFill="1" applyAlignment="1"/>
    <xf numFmtId="166" fontId="16" fillId="3" borderId="0" xfId="3" applyNumberFormat="1" applyFont="1" applyFill="1" applyAlignment="1"/>
    <xf numFmtId="164" fontId="16" fillId="0" borderId="10" xfId="3" applyFont="1" applyFill="1" applyBorder="1" applyAlignment="1"/>
    <xf numFmtId="166" fontId="16" fillId="0" borderId="12" xfId="3" applyNumberFormat="1" applyFont="1" applyFill="1" applyBorder="1" applyAlignment="1"/>
    <xf numFmtId="164" fontId="16" fillId="0" borderId="0" xfId="3" applyFont="1" applyFill="1" applyAlignment="1"/>
    <xf numFmtId="166" fontId="16" fillId="0" borderId="0" xfId="3" applyNumberFormat="1" applyFont="1" applyFill="1" applyAlignment="1"/>
    <xf numFmtId="164" fontId="15" fillId="2" borderId="0" xfId="3" applyFont="1" applyFill="1" applyAlignment="1"/>
    <xf numFmtId="164" fontId="15" fillId="2" borderId="0" xfId="3" applyFont="1" applyFill="1" applyAlignment="1">
      <alignment wrapText="1"/>
    </xf>
    <xf numFmtId="164" fontId="16" fillId="0" borderId="13" xfId="3" applyFont="1" applyFill="1" applyBorder="1" applyAlignment="1">
      <alignment horizontal="center"/>
    </xf>
    <xf numFmtId="164" fontId="16" fillId="0" borderId="14" xfId="3" applyFont="1" applyFill="1" applyBorder="1" applyAlignment="1">
      <alignment horizontal="center" wrapText="1"/>
    </xf>
    <xf numFmtId="0" fontId="19" fillId="0" borderId="0" xfId="0" applyFont="1"/>
    <xf numFmtId="49" fontId="0" fillId="0" borderId="10" xfId="0" applyNumberFormat="1" applyBorder="1"/>
    <xf numFmtId="49" fontId="0" fillId="0" borderId="10" xfId="0" applyNumberFormat="1" applyBorder="1" applyAlignment="1">
      <alignment wrapText="1"/>
    </xf>
    <xf numFmtId="167" fontId="10" fillId="0" borderId="0" xfId="1" applyNumberFormat="1" applyFont="1" applyFill="1" applyAlignment="1"/>
    <xf numFmtId="49" fontId="6" fillId="0" borderId="10" xfId="0" applyNumberFormat="1" applyFont="1" applyBorder="1" applyAlignment="1">
      <alignment wrapText="1"/>
    </xf>
    <xf numFmtId="164" fontId="14" fillId="0" borderId="0" xfId="3" applyFont="1" applyFill="1" applyAlignment="1">
      <alignment horizontal="center" wrapText="1"/>
    </xf>
    <xf numFmtId="164" fontId="6" fillId="0" borderId="0" xfId="3" applyFont="1" applyFill="1" applyAlignment="1">
      <alignment wrapText="1"/>
    </xf>
    <xf numFmtId="164" fontId="10" fillId="0" borderId="0" xfId="3" applyFont="1" applyFill="1" applyAlignment="1">
      <alignment wrapText="1"/>
    </xf>
    <xf numFmtId="165" fontId="20" fillId="0" borderId="10" xfId="2" applyNumberFormat="1" applyFont="1" applyFill="1" applyBorder="1" applyAlignment="1"/>
    <xf numFmtId="164" fontId="10" fillId="5" borderId="10" xfId="3" applyFont="1" applyFill="1" applyBorder="1" applyAlignment="1">
      <alignment wrapText="1"/>
    </xf>
    <xf numFmtId="165" fontId="10" fillId="5" borderId="10" xfId="2" applyNumberFormat="1" applyFont="1" applyFill="1" applyBorder="1" applyAlignment="1"/>
    <xf numFmtId="164" fontId="6" fillId="0" borderId="11" xfId="3" applyFont="1" applyFill="1" applyBorder="1" applyAlignment="1">
      <alignment wrapText="1"/>
    </xf>
    <xf numFmtId="165" fontId="21" fillId="0" borderId="10" xfId="2" applyNumberFormat="1" applyFont="1" applyFill="1" applyBorder="1" applyAlignment="1"/>
    <xf numFmtId="165" fontId="6" fillId="0" borderId="0" xfId="3" applyNumberFormat="1" applyFont="1" applyFill="1" applyAlignment="1"/>
    <xf numFmtId="164" fontId="10" fillId="5" borderId="0" xfId="3" applyFont="1" applyFill="1" applyAlignment="1">
      <alignment wrapText="1"/>
    </xf>
    <xf numFmtId="165" fontId="14" fillId="5" borderId="0" xfId="3" applyNumberFormat="1" applyFont="1" applyFill="1" applyAlignment="1"/>
    <xf numFmtId="165" fontId="10" fillId="0" borderId="0" xfId="2" applyNumberFormat="1" applyFont="1" applyFill="1" applyAlignment="1"/>
    <xf numFmtId="165" fontId="14" fillId="0" borderId="0" xfId="2" applyNumberFormat="1" applyFont="1" applyFill="1" applyAlignment="1"/>
    <xf numFmtId="164" fontId="6" fillId="0" borderId="10" xfId="3" applyFont="1" applyFill="1" applyBorder="1" applyAlignment="1">
      <alignment horizontal="center"/>
    </xf>
    <xf numFmtId="165" fontId="24" fillId="0" borderId="10" xfId="2" applyNumberFormat="1" applyFont="1" applyFill="1" applyBorder="1" applyAlignment="1"/>
    <xf numFmtId="164" fontId="10" fillId="5" borderId="10" xfId="3" applyFont="1" applyFill="1" applyBorder="1" applyAlignment="1"/>
    <xf numFmtId="165" fontId="22" fillId="5" borderId="10" xfId="3" applyNumberFormat="1" applyFont="1" applyFill="1" applyBorder="1" applyAlignment="1"/>
    <xf numFmtId="166" fontId="24" fillId="0" borderId="10" xfId="3" applyNumberFormat="1" applyFont="1" applyFill="1" applyBorder="1" applyAlignment="1"/>
    <xf numFmtId="166" fontId="6" fillId="0" borderId="0" xfId="3" applyNumberFormat="1" applyFont="1" applyFill="1" applyAlignment="1"/>
    <xf numFmtId="164" fontId="22" fillId="5" borderId="0" xfId="3" applyFont="1" applyFill="1" applyAlignment="1">
      <alignment wrapText="1"/>
    </xf>
    <xf numFmtId="164" fontId="22" fillId="5" borderId="0" xfId="3" applyFont="1" applyFill="1" applyAlignment="1"/>
    <xf numFmtId="166" fontId="22" fillId="5" borderId="0" xfId="3" applyNumberFormat="1" applyFont="1" applyFill="1" applyAlignment="1"/>
    <xf numFmtId="164" fontId="6" fillId="6" borderId="0" xfId="3" applyFont="1" applyFill="1" applyAlignment="1"/>
    <xf numFmtId="164" fontId="10" fillId="0" borderId="10" xfId="3" applyFont="1" applyFill="1" applyBorder="1" applyAlignment="1"/>
    <xf numFmtId="165" fontId="14" fillId="0" borderId="10" xfId="2" applyNumberFormat="1" applyFont="1" applyFill="1" applyBorder="1" applyAlignment="1"/>
    <xf numFmtId="164" fontId="10" fillId="5" borderId="0" xfId="3" applyFont="1" applyFill="1" applyAlignment="1"/>
    <xf numFmtId="165" fontId="14" fillId="5" borderId="0" xfId="2" applyNumberFormat="1" applyFont="1" applyFill="1" applyAlignment="1"/>
    <xf numFmtId="164" fontId="12" fillId="0" borderId="0" xfId="3" applyFont="1" applyFill="1" applyAlignment="1">
      <alignment horizontal="right"/>
    </xf>
    <xf numFmtId="164" fontId="12" fillId="0" borderId="0" xfId="3" applyFont="1" applyFill="1" applyAlignment="1"/>
    <xf numFmtId="164" fontId="12" fillId="0" borderId="0" xfId="3" applyFont="1" applyFill="1" applyAlignment="1">
      <alignment horizontal="justify"/>
    </xf>
    <xf numFmtId="164" fontId="25" fillId="0" borderId="0" xfId="3" applyFont="1" applyFill="1" applyAlignment="1"/>
    <xf numFmtId="164" fontId="12" fillId="0" borderId="15" xfId="3" applyFont="1" applyFill="1" applyBorder="1" applyAlignment="1">
      <alignment horizontal="center"/>
    </xf>
    <xf numFmtId="164" fontId="13" fillId="0" borderId="16" xfId="3" applyFont="1" applyFill="1" applyBorder="1" applyAlignment="1">
      <alignment horizontal="center" vertical="top" wrapText="1"/>
    </xf>
    <xf numFmtId="164" fontId="13" fillId="0" borderId="17" xfId="3" applyFont="1" applyFill="1" applyBorder="1" applyAlignment="1">
      <alignment horizontal="center" vertical="top" wrapText="1"/>
    </xf>
    <xf numFmtId="164" fontId="13" fillId="0" borderId="18" xfId="3" applyFont="1" applyFill="1" applyBorder="1" applyAlignment="1">
      <alignment horizontal="center" vertical="top" wrapText="1"/>
    </xf>
    <xf numFmtId="164" fontId="13" fillId="0" borderId="19" xfId="3" applyFont="1" applyFill="1" applyBorder="1" applyAlignment="1">
      <alignment horizontal="center" vertical="top" wrapText="1"/>
    </xf>
    <xf numFmtId="164" fontId="13" fillId="0" borderId="10" xfId="3" applyFont="1" applyFill="1" applyBorder="1" applyAlignment="1">
      <alignment horizontal="center" vertical="top" wrapText="1"/>
    </xf>
    <xf numFmtId="164" fontId="6" fillId="0" borderId="3" xfId="3" applyFont="1" applyFill="1" applyBorder="1" applyAlignment="1">
      <alignment vertical="top" wrapText="1"/>
    </xf>
    <xf numFmtId="164" fontId="13" fillId="0" borderId="20" xfId="3" applyFont="1" applyFill="1" applyBorder="1" applyAlignment="1">
      <alignment horizontal="center" vertical="top" wrapText="1"/>
    </xf>
    <xf numFmtId="164" fontId="12" fillId="5" borderId="5" xfId="3" applyFont="1" applyFill="1" applyBorder="1" applyAlignment="1">
      <alignment vertical="top" wrapText="1"/>
    </xf>
    <xf numFmtId="164" fontId="26" fillId="5" borderId="19" xfId="3" applyFont="1" applyFill="1" applyBorder="1" applyAlignment="1">
      <alignment horizontal="right" vertical="top" wrapText="1"/>
    </xf>
    <xf numFmtId="164" fontId="26" fillId="5" borderId="10" xfId="3" applyFont="1" applyFill="1" applyBorder="1" applyAlignment="1">
      <alignment horizontal="right" vertical="top" wrapText="1"/>
    </xf>
    <xf numFmtId="164" fontId="13" fillId="0" borderId="5" xfId="3" applyFont="1" applyFill="1" applyBorder="1" applyAlignment="1">
      <alignment vertical="top" wrapText="1"/>
    </xf>
    <xf numFmtId="164" fontId="27" fillId="0" borderId="19" xfId="3" applyFont="1" applyFill="1" applyBorder="1" applyAlignment="1">
      <alignment horizontal="right" vertical="top" wrapText="1"/>
    </xf>
    <xf numFmtId="164" fontId="27" fillId="0" borderId="10" xfId="3" applyFont="1" applyFill="1" applyBorder="1" applyAlignment="1">
      <alignment horizontal="right" vertical="top" wrapText="1"/>
    </xf>
    <xf numFmtId="164" fontId="26" fillId="5" borderId="7" xfId="3" applyFont="1" applyFill="1" applyBorder="1" applyAlignment="1">
      <alignment horizontal="right" vertical="top" wrapText="1"/>
    </xf>
    <xf numFmtId="49" fontId="0" fillId="0" borderId="0" xfId="0" applyNumberFormat="1" applyAlignment="1">
      <alignment wrapText="1"/>
    </xf>
    <xf numFmtId="3" fontId="6" fillId="0" borderId="0" xfId="0" applyNumberFormat="1" applyFont="1"/>
    <xf numFmtId="164" fontId="10" fillId="0" borderId="0" xfId="3" applyFont="1" applyFill="1" applyAlignment="1">
      <alignment horizontal="center"/>
    </xf>
    <xf numFmtId="0" fontId="0" fillId="0" borderId="0" xfId="0"/>
    <xf numFmtId="164" fontId="6" fillId="0" borderId="21" xfId="3" applyFont="1" applyFill="1" applyBorder="1" applyAlignment="1"/>
    <xf numFmtId="167" fontId="6" fillId="0" borderId="21" xfId="1" applyNumberFormat="1" applyFont="1" applyFill="1" applyBorder="1" applyAlignment="1">
      <alignment horizontal="right"/>
    </xf>
    <xf numFmtId="164" fontId="6" fillId="0" borderId="7" xfId="3" applyFont="1" applyFill="1" applyBorder="1" applyAlignment="1"/>
    <xf numFmtId="0" fontId="19" fillId="0" borderId="0" xfId="0" applyFont="1" applyAlignment="1">
      <alignment wrapText="1"/>
    </xf>
    <xf numFmtId="165" fontId="14" fillId="0" borderId="0" xfId="3" applyNumberFormat="1" applyFont="1" applyFill="1" applyAlignment="1"/>
    <xf numFmtId="0" fontId="0" fillId="0" borderId="0" xfId="0" applyFill="1"/>
    <xf numFmtId="164" fontId="6" fillId="0" borderId="7" xfId="3" applyFont="1" applyFill="1" applyBorder="1" applyAlignment="1">
      <alignment wrapText="1"/>
    </xf>
    <xf numFmtId="166" fontId="24" fillId="0" borderId="7" xfId="3" applyNumberFormat="1" applyFont="1" applyFill="1" applyBorder="1" applyAlignment="1"/>
    <xf numFmtId="164" fontId="6" fillId="0" borderId="21" xfId="3" applyFont="1" applyFill="1" applyBorder="1" applyAlignment="1">
      <alignment wrapText="1"/>
    </xf>
    <xf numFmtId="166" fontId="24" fillId="0" borderId="21" xfId="3" applyNumberFormat="1" applyFont="1" applyFill="1" applyBorder="1" applyAlignment="1"/>
    <xf numFmtId="164" fontId="13" fillId="0" borderId="0" xfId="3" applyFont="1" applyFill="1" applyAlignment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Fill="1"/>
    <xf numFmtId="0" fontId="12" fillId="0" borderId="0" xfId="0" applyFont="1" applyAlignment="1">
      <alignment wrapText="1"/>
    </xf>
    <xf numFmtId="0" fontId="28" fillId="0" borderId="23" xfId="0" applyFont="1" applyBorder="1"/>
    <xf numFmtId="0" fontId="28" fillId="0" borderId="21" xfId="0" applyFont="1" applyBorder="1"/>
    <xf numFmtId="3" fontId="28" fillId="0" borderId="21" xfId="0" applyNumberFormat="1" applyFont="1" applyBorder="1" applyAlignment="1">
      <alignment horizontal="right"/>
    </xf>
    <xf numFmtId="3" fontId="28" fillId="0" borderId="24" xfId="0" applyNumberFormat="1" applyFont="1" applyBorder="1"/>
    <xf numFmtId="3" fontId="28" fillId="0" borderId="21" xfId="0" applyNumberFormat="1" applyFont="1" applyBorder="1"/>
    <xf numFmtId="0" fontId="28" fillId="0" borderId="25" xfId="0" applyFont="1" applyBorder="1"/>
    <xf numFmtId="0" fontId="28" fillId="0" borderId="22" xfId="0" applyFont="1" applyBorder="1"/>
    <xf numFmtId="3" fontId="28" fillId="0" borderId="22" xfId="0" applyNumberFormat="1" applyFont="1" applyBorder="1"/>
    <xf numFmtId="3" fontId="28" fillId="0" borderId="26" xfId="0" applyNumberFormat="1" applyFont="1" applyBorder="1"/>
    <xf numFmtId="0" fontId="28" fillId="0" borderId="21" xfId="0" applyFont="1" applyBorder="1" applyAlignment="1">
      <alignment horizontal="right"/>
    </xf>
    <xf numFmtId="0" fontId="28" fillId="0" borderId="0" xfId="0" applyFont="1" applyBorder="1"/>
    <xf numFmtId="3" fontId="29" fillId="0" borderId="0" xfId="0" applyNumberFormat="1" applyFont="1" applyBorder="1"/>
    <xf numFmtId="167" fontId="12" fillId="0" borderId="0" xfId="1" applyNumberFormat="1" applyFont="1" applyFill="1" applyAlignment="1"/>
    <xf numFmtId="0" fontId="28" fillId="0" borderId="27" xfId="0" applyFont="1" applyBorder="1"/>
    <xf numFmtId="3" fontId="29" fillId="0" borderId="27" xfId="0" applyNumberFormat="1" applyFont="1" applyBorder="1"/>
    <xf numFmtId="0" fontId="29" fillId="0" borderId="27" xfId="0" applyFont="1" applyBorder="1"/>
    <xf numFmtId="0" fontId="29" fillId="0" borderId="0" xfId="0" applyFont="1" applyBorder="1"/>
    <xf numFmtId="164" fontId="12" fillId="0" borderId="0" xfId="3" applyFont="1" applyFill="1" applyBorder="1" applyAlignment="1">
      <alignment horizontal="center"/>
    </xf>
    <xf numFmtId="164" fontId="10" fillId="0" borderId="0" xfId="3" applyFont="1" applyFill="1" applyAlignment="1">
      <alignment horizontal="center"/>
    </xf>
    <xf numFmtId="0" fontId="0" fillId="0" borderId="0" xfId="0"/>
    <xf numFmtId="164" fontId="14" fillId="0" borderId="0" xfId="3" applyFont="1" applyFill="1" applyAlignment="1">
      <alignment horizontal="center"/>
    </xf>
    <xf numFmtId="164" fontId="10" fillId="0" borderId="0" xfId="3" applyFont="1" applyFill="1" applyAlignment="1">
      <alignment horizontal="center"/>
    </xf>
    <xf numFmtId="0" fontId="0" fillId="0" borderId="0" xfId="0"/>
    <xf numFmtId="164" fontId="14" fillId="0" borderId="0" xfId="3" applyFont="1" applyFill="1" applyAlignment="1">
      <alignment horizontal="center"/>
    </xf>
    <xf numFmtId="166" fontId="17" fillId="0" borderId="0" xfId="3" applyNumberFormat="1" applyFont="1" applyFill="1" applyBorder="1" applyAlignment="1"/>
    <xf numFmtId="166" fontId="17" fillId="0" borderId="13" xfId="3" applyNumberFormat="1" applyFont="1" applyFill="1" applyBorder="1" applyAlignment="1"/>
    <xf numFmtId="166" fontId="17" fillId="0" borderId="21" xfId="3" applyNumberFormat="1" applyFont="1" applyFill="1" applyBorder="1" applyAlignment="1"/>
    <xf numFmtId="0" fontId="0" fillId="0" borderId="0" xfId="0"/>
    <xf numFmtId="164" fontId="15" fillId="2" borderId="0" xfId="3" applyFont="1" applyFill="1" applyBorder="1" applyAlignment="1">
      <alignment horizontal="center" wrapText="1"/>
    </xf>
    <xf numFmtId="164" fontId="6" fillId="0" borderId="13" xfId="3" applyFont="1" applyFill="1" applyBorder="1" applyAlignment="1">
      <alignment wrapText="1"/>
    </xf>
    <xf numFmtId="2" fontId="28" fillId="0" borderId="21" xfId="0" applyNumberFormat="1" applyFont="1" applyBorder="1"/>
    <xf numFmtId="166" fontId="16" fillId="3" borderId="13" xfId="3" applyNumberFormat="1" applyFont="1" applyFill="1" applyBorder="1" applyAlignment="1"/>
    <xf numFmtId="0" fontId="0" fillId="0" borderId="0" xfId="0"/>
    <xf numFmtId="164" fontId="10" fillId="8" borderId="10" xfId="3" applyFont="1" applyFill="1" applyBorder="1" applyAlignment="1">
      <alignment vertical="top" wrapText="1"/>
    </xf>
    <xf numFmtId="164" fontId="10" fillId="0" borderId="0" xfId="3" applyFont="1" applyFill="1" applyAlignment="1">
      <alignment horizontal="center"/>
    </xf>
    <xf numFmtId="0" fontId="0" fillId="0" borderId="0" xfId="0"/>
    <xf numFmtId="164" fontId="14" fillId="0" borderId="0" xfId="3" applyFont="1" applyFill="1" applyAlignment="1">
      <alignment horizontal="center"/>
    </xf>
    <xf numFmtId="9" fontId="17" fillId="0" borderId="11" xfId="12" applyFont="1" applyFill="1" applyBorder="1" applyAlignment="1"/>
    <xf numFmtId="9" fontId="16" fillId="3" borderId="10" xfId="12" applyFont="1" applyFill="1" applyBorder="1" applyAlignment="1"/>
    <xf numFmtId="9" fontId="17" fillId="0" borderId="21" xfId="12" applyFont="1" applyFill="1" applyBorder="1" applyAlignment="1"/>
    <xf numFmtId="9" fontId="17" fillId="0" borderId="10" xfId="12" applyFont="1" applyFill="1" applyBorder="1" applyAlignment="1"/>
    <xf numFmtId="9" fontId="16" fillId="0" borderId="10" xfId="12" applyFont="1" applyFill="1" applyBorder="1" applyAlignment="1"/>
    <xf numFmtId="9" fontId="17" fillId="0" borderId="0" xfId="12" applyFont="1" applyFill="1" applyBorder="1" applyAlignment="1"/>
    <xf numFmtId="167" fontId="6" fillId="0" borderId="21" xfId="1" applyNumberFormat="1" applyFont="1" applyFill="1" applyBorder="1" applyAlignment="1">
      <alignment horizontal="center"/>
    </xf>
    <xf numFmtId="167" fontId="6" fillId="0" borderId="28" xfId="1" applyNumberFormat="1" applyFont="1" applyFill="1" applyBorder="1" applyAlignment="1">
      <alignment horizontal="right"/>
    </xf>
    <xf numFmtId="167" fontId="6" fillId="0" borderId="22" xfId="1" applyNumberFormat="1" applyFont="1" applyFill="1" applyBorder="1" applyAlignment="1">
      <alignment horizontal="right"/>
    </xf>
    <xf numFmtId="166" fontId="16" fillId="3" borderId="0" xfId="3" applyNumberFormat="1" applyFont="1" applyFill="1" applyBorder="1" applyAlignment="1"/>
    <xf numFmtId="9" fontId="16" fillId="3" borderId="0" xfId="12" applyFont="1" applyFill="1" applyBorder="1" applyAlignment="1"/>
    <xf numFmtId="9" fontId="16" fillId="0" borderId="0" xfId="12" applyFont="1" applyFill="1" applyBorder="1" applyAlignment="1"/>
    <xf numFmtId="167" fontId="6" fillId="0" borderId="0" xfId="1" applyNumberFormat="1" applyFont="1" applyFill="1" applyAlignment="1"/>
    <xf numFmtId="9" fontId="6" fillId="0" borderId="0" xfId="12" applyFont="1" applyFill="1" applyAlignment="1"/>
    <xf numFmtId="164" fontId="17" fillId="0" borderId="10" xfId="3" applyFont="1" applyFill="1" applyBorder="1" applyAlignment="1">
      <alignment wrapText="1"/>
    </xf>
    <xf numFmtId="9" fontId="16" fillId="7" borderId="21" xfId="12" applyFont="1" applyFill="1" applyBorder="1" applyAlignment="1"/>
    <xf numFmtId="9" fontId="16" fillId="0" borderId="21" xfId="12" applyFont="1" applyFill="1" applyBorder="1" applyAlignment="1"/>
    <xf numFmtId="164" fontId="26" fillId="5" borderId="29" xfId="3" applyFont="1" applyFill="1" applyBorder="1" applyAlignment="1">
      <alignment horizontal="right" vertical="top" wrapText="1"/>
    </xf>
    <xf numFmtId="164" fontId="26" fillId="5" borderId="21" xfId="3" applyFont="1" applyFill="1" applyBorder="1" applyAlignment="1">
      <alignment horizontal="right" vertical="top" wrapText="1"/>
    </xf>
    <xf numFmtId="164" fontId="27" fillId="9" borderId="21" xfId="3" applyFont="1" applyFill="1" applyBorder="1" applyAlignment="1">
      <alignment horizontal="right" vertical="top" wrapText="1"/>
    </xf>
    <xf numFmtId="164" fontId="26" fillId="5" borderId="30" xfId="3" applyFont="1" applyFill="1" applyBorder="1" applyAlignment="1">
      <alignment horizontal="right" vertical="top" wrapText="1"/>
    </xf>
    <xf numFmtId="164" fontId="10" fillId="0" borderId="21" xfId="3" applyFont="1" applyFill="1" applyBorder="1" applyAlignment="1"/>
    <xf numFmtId="164" fontId="10" fillId="0" borderId="21" xfId="3" applyFont="1" applyFill="1" applyBorder="1" applyAlignment="1">
      <alignment wrapText="1"/>
    </xf>
    <xf numFmtId="0" fontId="0" fillId="0" borderId="0" xfId="0"/>
    <xf numFmtId="171" fontId="6" fillId="0" borderId="21" xfId="1" applyNumberFormat="1" applyFont="1" applyFill="1" applyBorder="1" applyAlignment="1">
      <alignment horizontal="right"/>
    </xf>
    <xf numFmtId="171" fontId="6" fillId="0" borderId="21" xfId="1" applyNumberFormat="1" applyFont="1" applyFill="1" applyBorder="1" applyAlignment="1"/>
    <xf numFmtId="171" fontId="6" fillId="0" borderId="22" xfId="1" applyNumberFormat="1" applyFont="1" applyFill="1" applyBorder="1" applyAlignment="1"/>
    <xf numFmtId="0" fontId="0" fillId="0" borderId="0" xfId="0"/>
    <xf numFmtId="0" fontId="0" fillId="0" borderId="0" xfId="0" applyAlignment="1"/>
    <xf numFmtId="164" fontId="30" fillId="0" borderId="0" xfId="3" applyFont="1" applyFill="1" applyAlignment="1"/>
    <xf numFmtId="0" fontId="30" fillId="0" borderId="0" xfId="0" applyFont="1" applyAlignment="1"/>
    <xf numFmtId="0" fontId="0" fillId="0" borderId="0" xfId="0"/>
    <xf numFmtId="164" fontId="27" fillId="0" borderId="0" xfId="3" applyFont="1" applyFill="1" applyBorder="1" applyAlignment="1">
      <alignment horizontal="right" vertical="top" wrapText="1"/>
    </xf>
    <xf numFmtId="0" fontId="28" fillId="0" borderId="21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171" fontId="6" fillId="0" borderId="0" xfId="3" applyNumberFormat="1" applyFont="1" applyFill="1" applyAlignment="1"/>
    <xf numFmtId="3" fontId="34" fillId="0" borderId="21" xfId="15" applyNumberFormat="1" applyFont="1" applyBorder="1"/>
    <xf numFmtId="3" fontId="34" fillId="0" borderId="21" xfId="15" applyNumberFormat="1" applyFont="1" applyFill="1" applyBorder="1"/>
    <xf numFmtId="167" fontId="6" fillId="0" borderId="22" xfId="1" applyNumberFormat="1" applyFont="1" applyFill="1" applyBorder="1" applyAlignment="1">
      <alignment horizontal="right"/>
    </xf>
    <xf numFmtId="167" fontId="6" fillId="0" borderId="28" xfId="1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9" fontId="17" fillId="0" borderId="11" xfId="12" applyNumberFormat="1" applyFont="1" applyFill="1" applyBorder="1" applyAlignment="1"/>
    <xf numFmtId="164" fontId="6" fillId="0" borderId="0" xfId="3" quotePrefix="1" applyFont="1" applyFill="1" applyAlignment="1"/>
    <xf numFmtId="164" fontId="35" fillId="0" borderId="0" xfId="3" applyFont="1" applyFill="1" applyAlignment="1"/>
    <xf numFmtId="165" fontId="36" fillId="0" borderId="0" xfId="3" applyNumberFormat="1" applyFont="1" applyFill="1" applyAlignment="1"/>
    <xf numFmtId="164" fontId="37" fillId="0" borderId="0" xfId="3" applyFont="1" applyFill="1" applyAlignment="1"/>
    <xf numFmtId="0" fontId="28" fillId="0" borderId="27" xfId="0" applyFont="1" applyBorder="1" applyAlignment="1">
      <alignment wrapText="1"/>
    </xf>
    <xf numFmtId="2" fontId="28" fillId="0" borderId="21" xfId="0" applyNumberFormat="1" applyFont="1" applyBorder="1" applyAlignment="1">
      <alignment horizontal="right"/>
    </xf>
    <xf numFmtId="2" fontId="28" fillId="0" borderId="22" xfId="0" applyNumberFormat="1" applyFont="1" applyBorder="1"/>
    <xf numFmtId="9" fontId="37" fillId="0" borderId="0" xfId="12" applyFont="1" applyFill="1" applyAlignment="1"/>
    <xf numFmtId="0" fontId="0" fillId="0" borderId="0" xfId="0"/>
    <xf numFmtId="0" fontId="1" fillId="0" borderId="0" xfId="18"/>
    <xf numFmtId="0" fontId="28" fillId="0" borderId="0" xfId="18" applyFont="1"/>
    <xf numFmtId="171" fontId="28" fillId="0" borderId="0" xfId="18" applyNumberFormat="1" applyFont="1"/>
    <xf numFmtId="173" fontId="28" fillId="0" borderId="0" xfId="18" applyNumberFormat="1" applyFont="1"/>
    <xf numFmtId="0" fontId="28" fillId="0" borderId="0" xfId="18" applyFont="1" applyAlignment="1">
      <alignment horizontal="center" vertical="center" wrapText="1"/>
    </xf>
    <xf numFmtId="0" fontId="1" fillId="0" borderId="0" xfId="18" applyAlignment="1">
      <alignment horizontal="center" wrapText="1"/>
    </xf>
    <xf numFmtId="0" fontId="28" fillId="0" borderId="31" xfId="18" applyFont="1" applyBorder="1"/>
    <xf numFmtId="0" fontId="28" fillId="0" borderId="22" xfId="18" applyFont="1" applyBorder="1"/>
    <xf numFmtId="0" fontId="28" fillId="0" borderId="22" xfId="18" applyFont="1" applyFill="1" applyBorder="1"/>
    <xf numFmtId="0" fontId="29" fillId="0" borderId="32" xfId="18" applyFont="1" applyBorder="1"/>
    <xf numFmtId="14" fontId="28" fillId="0" borderId="28" xfId="18" applyNumberFormat="1" applyFont="1" applyBorder="1"/>
    <xf numFmtId="0" fontId="29" fillId="0" borderId="28" xfId="18" applyFont="1" applyFill="1" applyBorder="1" applyAlignment="1">
      <alignment horizontal="center" wrapText="1"/>
    </xf>
    <xf numFmtId="0" fontId="29" fillId="0" borderId="21" xfId="18" applyFont="1" applyFill="1" applyBorder="1"/>
    <xf numFmtId="171" fontId="29" fillId="0" borderId="33" xfId="18" applyNumberFormat="1" applyFont="1" applyFill="1" applyBorder="1"/>
    <xf numFmtId="171" fontId="28" fillId="0" borderId="21" xfId="18" applyNumberFormat="1" applyFont="1" applyFill="1" applyBorder="1"/>
    <xf numFmtId="171" fontId="28" fillId="0" borderId="21" xfId="18" applyNumberFormat="1" applyFont="1" applyBorder="1"/>
    <xf numFmtId="171" fontId="1" fillId="0" borderId="0" xfId="18" applyNumberFormat="1"/>
    <xf numFmtId="0" fontId="29" fillId="0" borderId="0" xfId="18" applyFont="1"/>
    <xf numFmtId="3" fontId="28" fillId="0" borderId="0" xfId="18" applyNumberFormat="1" applyFont="1"/>
    <xf numFmtId="3" fontId="29" fillId="0" borderId="0" xfId="18" applyNumberFormat="1" applyFont="1" applyFill="1"/>
    <xf numFmtId="3" fontId="28" fillId="0" borderId="0" xfId="18" applyNumberFormat="1" applyFont="1" applyFill="1"/>
    <xf numFmtId="172" fontId="28" fillId="0" borderId="0" xfId="19" applyNumberFormat="1" applyFont="1"/>
    <xf numFmtId="171" fontId="29" fillId="0" borderId="0" xfId="18" applyNumberFormat="1" applyFont="1" applyFill="1"/>
    <xf numFmtId="171" fontId="29" fillId="10" borderId="21" xfId="18" applyNumberFormat="1" applyFont="1" applyFill="1" applyBorder="1"/>
    <xf numFmtId="43" fontId="0" fillId="0" borderId="0" xfId="19" applyFont="1"/>
    <xf numFmtId="172" fontId="0" fillId="0" borderId="0" xfId="19" applyNumberFormat="1" applyFont="1"/>
    <xf numFmtId="0" fontId="31" fillId="0" borderId="0" xfId="18" applyFont="1"/>
    <xf numFmtId="0" fontId="32" fillId="10" borderId="0" xfId="18" applyFont="1" applyFill="1"/>
    <xf numFmtId="3" fontId="1" fillId="0" borderId="0" xfId="18" applyNumberFormat="1"/>
    <xf numFmtId="171" fontId="29" fillId="10" borderId="0" xfId="18" applyNumberFormat="1" applyFont="1" applyFill="1"/>
    <xf numFmtId="171" fontId="34" fillId="0" borderId="0" xfId="18" applyNumberFormat="1" applyFont="1"/>
    <xf numFmtId="165" fontId="24" fillId="0" borderId="11" xfId="2" applyNumberFormat="1" applyFont="1" applyFill="1" applyBorder="1" applyAlignment="1"/>
    <xf numFmtId="164" fontId="10" fillId="0" borderId="0" xfId="3" applyFont="1" applyFill="1" applyAlignment="1">
      <alignment horizontal="center" wrapText="1"/>
    </xf>
    <xf numFmtId="165" fontId="35" fillId="0" borderId="0" xfId="3" applyNumberFormat="1" applyFont="1" applyFill="1" applyAlignment="1"/>
    <xf numFmtId="1" fontId="35" fillId="0" borderId="0" xfId="3" applyNumberFormat="1" applyFont="1" applyFill="1" applyAlignment="1"/>
    <xf numFmtId="164" fontId="10" fillId="0" borderId="0" xfId="3" applyFont="1" applyFill="1" applyAlignment="1">
      <alignment horizontal="center"/>
    </xf>
    <xf numFmtId="164" fontId="11" fillId="0" borderId="0" xfId="3" applyFont="1" applyFill="1" applyAlignment="1">
      <alignment horizontal="center"/>
    </xf>
    <xf numFmtId="164" fontId="12" fillId="0" borderId="0" xfId="3" applyFont="1" applyFill="1" applyAlignment="1">
      <alignment horizontal="center"/>
    </xf>
    <xf numFmtId="164" fontId="15" fillId="2" borderId="6" xfId="3" applyFont="1" applyFill="1" applyBorder="1" applyAlignment="1">
      <alignment horizontal="center" wrapText="1"/>
    </xf>
    <xf numFmtId="164" fontId="14" fillId="0" borderId="0" xfId="3" applyFont="1" applyFill="1" applyAlignment="1">
      <alignment horizontal="center"/>
    </xf>
    <xf numFmtId="167" fontId="6" fillId="0" borderId="22" xfId="1" applyNumberFormat="1" applyFont="1" applyFill="1" applyBorder="1" applyAlignment="1">
      <alignment horizontal="center"/>
    </xf>
    <xf numFmtId="167" fontId="6" fillId="0" borderId="28" xfId="1" applyNumberFormat="1" applyFont="1" applyFill="1" applyBorder="1" applyAlignment="1">
      <alignment horizontal="center"/>
    </xf>
    <xf numFmtId="167" fontId="6" fillId="0" borderId="22" xfId="1" applyNumberFormat="1" applyFont="1" applyFill="1" applyBorder="1" applyAlignment="1">
      <alignment horizontal="right"/>
    </xf>
    <xf numFmtId="167" fontId="6" fillId="0" borderId="28" xfId="1" applyNumberFormat="1" applyFont="1" applyFill="1" applyBorder="1" applyAlignment="1">
      <alignment horizontal="right"/>
    </xf>
    <xf numFmtId="0" fontId="0" fillId="0" borderId="0" xfId="0"/>
    <xf numFmtId="171" fontId="24" fillId="0" borderId="22" xfId="3" applyNumberFormat="1" applyFont="1" applyFill="1" applyBorder="1" applyAlignment="1">
      <alignment horizontal="center" vertical="center"/>
    </xf>
    <xf numFmtId="171" fontId="24" fillId="0" borderId="34" xfId="3" applyNumberFormat="1" applyFont="1" applyFill="1" applyBorder="1" applyAlignment="1">
      <alignment horizontal="center" vertical="center"/>
    </xf>
    <xf numFmtId="171" fontId="24" fillId="0" borderId="28" xfId="3" applyNumberFormat="1" applyFont="1" applyFill="1" applyBorder="1" applyAlignment="1">
      <alignment horizontal="center" vertical="center"/>
    </xf>
    <xf numFmtId="164" fontId="10" fillId="0" borderId="22" xfId="3" applyFont="1" applyFill="1" applyBorder="1" applyAlignment="1">
      <alignment horizontal="center" vertical="center" textRotation="90" wrapText="1"/>
    </xf>
    <xf numFmtId="164" fontId="10" fillId="0" borderId="34" xfId="3" applyFont="1" applyFill="1" applyBorder="1" applyAlignment="1">
      <alignment horizontal="center" vertical="center" textRotation="90" wrapText="1"/>
    </xf>
    <xf numFmtId="164" fontId="10" fillId="0" borderId="28" xfId="3" applyFont="1" applyFill="1" applyBorder="1" applyAlignment="1">
      <alignment horizontal="center" vertical="center" textRotation="90" wrapText="1"/>
    </xf>
    <xf numFmtId="165" fontId="24" fillId="0" borderId="13" xfId="2" applyNumberFormat="1" applyFont="1" applyFill="1" applyBorder="1" applyAlignment="1">
      <alignment horizontal="center" vertical="center" wrapText="1"/>
    </xf>
    <xf numFmtId="165" fontId="24" fillId="0" borderId="35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64" fontId="6" fillId="0" borderId="0" xfId="3" applyFont="1" applyFill="1" applyAlignment="1">
      <alignment horizontal="center"/>
    </xf>
    <xf numFmtId="164" fontId="12" fillId="0" borderId="0" xfId="3" applyFont="1" applyFill="1" applyAlignment="1">
      <alignment horizontal="center" wrapText="1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29" fillId="0" borderId="0" xfId="18" applyFont="1" applyAlignment="1">
      <alignment horizontal="center"/>
    </xf>
    <xf numFmtId="0" fontId="28" fillId="0" borderId="22" xfId="18" applyFont="1" applyFill="1" applyBorder="1" applyAlignment="1">
      <alignment horizontal="center" wrapText="1"/>
    </xf>
    <xf numFmtId="0" fontId="28" fillId="0" borderId="28" xfId="18" applyFont="1" applyFill="1" applyBorder="1" applyAlignment="1">
      <alignment horizontal="center" wrapText="1"/>
    </xf>
    <xf numFmtId="0" fontId="28" fillId="0" borderId="22" xfId="18" applyFont="1" applyBorder="1" applyAlignment="1">
      <alignment horizontal="center" wrapText="1"/>
    </xf>
    <xf numFmtId="0" fontId="28" fillId="0" borderId="28" xfId="18" applyFont="1" applyBorder="1" applyAlignment="1">
      <alignment horizontal="center" wrapText="1"/>
    </xf>
    <xf numFmtId="0" fontId="28" fillId="0" borderId="21" xfId="18" applyFont="1" applyBorder="1" applyAlignment="1">
      <alignment horizontal="center" wrapText="1"/>
    </xf>
    <xf numFmtId="0" fontId="29" fillId="10" borderId="21" xfId="18" applyFont="1" applyFill="1" applyBorder="1" applyAlignment="1">
      <alignment horizontal="center" wrapText="1"/>
    </xf>
    <xf numFmtId="171" fontId="29" fillId="0" borderId="21" xfId="18" applyNumberFormat="1" applyFont="1" applyFill="1" applyBorder="1"/>
    <xf numFmtId="43" fontId="0" fillId="0" borderId="0" xfId="19" applyFont="1" applyFill="1"/>
    <xf numFmtId="172" fontId="0" fillId="0" borderId="0" xfId="19" applyNumberFormat="1" applyFont="1" applyFill="1"/>
    <xf numFmtId="0" fontId="1" fillId="0" borderId="0" xfId="18" applyFill="1"/>
    <xf numFmtId="171" fontId="1" fillId="0" borderId="0" xfId="18" applyNumberFormat="1" applyFill="1"/>
    <xf numFmtId="3" fontId="28" fillId="0" borderId="36" xfId="18" applyNumberFormat="1" applyFont="1" applyBorder="1"/>
  </cellXfs>
  <cellStyles count="20">
    <cellStyle name="Excel Built-in Comma" xfId="2"/>
    <cellStyle name="Excel Built-in Normal" xfId="3"/>
    <cellStyle name="Ezres" xfId="1" builtinId="3" customBuiltin="1"/>
    <cellStyle name="Ezres 2" xfId="17"/>
    <cellStyle name="Ezres 3" xfId="19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3 2" xfId="15"/>
    <cellStyle name="Normál 4" xfId="9"/>
    <cellStyle name="Normál 5" xfId="13"/>
    <cellStyle name="Normál 6" xfId="14"/>
    <cellStyle name="Normál 7" xfId="16"/>
    <cellStyle name="Normál 8" xfId="18"/>
    <cellStyle name="Result" xfId="10"/>
    <cellStyle name="Result2" xfId="11"/>
    <cellStyle name="Százalék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%20terv/tervez&#233;s/T&#225;rsul&#225;s/T&#233;rs&#233;gi/jav&#237;tott/T&#233;rs&#233;gi%20T&#225;rsul&#225;s%20k&#246;lts&#233;gvet&#233;se%202018%20jav&#237;tott%20M&#193;K%20163_87_2017%20levele%20alapj&#225;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\Tervez&#233;s\T&#233;rs&#233;gi%20T&#225;rsul&#225;s\T&#233;rs&#233;gi%20T&#225;rsul&#225;s%20komplex%20k&#246;lts&#233;gvt&#233;s%202019%20jav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terv/t&#225;rsul&#225;s/T&#233;rs&#233;gi/M&#225;solat%20eredetijeK&#246;lts&#233;gvet&#233;s%20t&#225;rsul&#225;s%202016.12.14%20j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1128"/>
      <sheetName val="CSGYK Jub.jutalom és felm.bér"/>
      <sheetName val="CSGYK 2018 bértervezet 10.16"/>
      <sheetName val="KESZI 2017.11.28"/>
      <sheetName val="KESZI Jub.jutalom, felm.bér"/>
      <sheetName val="KESZI 2018 bértervezet 10.16"/>
      <sheetName val="tagdíjak"/>
      <sheetName val="Munka1"/>
      <sheetName val="Munka1 (2)"/>
      <sheetName val="Munka2"/>
    </sheetNames>
    <sheetDataSet>
      <sheetData sheetId="0" refreshError="1">
        <row r="16">
          <cell r="H16">
            <v>4028078</v>
          </cell>
        </row>
        <row r="21">
          <cell r="H21">
            <v>911601.06</v>
          </cell>
        </row>
        <row r="30">
          <cell r="H30">
            <v>7022050</v>
          </cell>
        </row>
        <row r="35">
          <cell r="H35">
            <v>6340000</v>
          </cell>
        </row>
        <row r="36">
          <cell r="H36">
            <v>129872088.96000001</v>
          </cell>
        </row>
        <row r="48">
          <cell r="H48">
            <v>37232744</v>
          </cell>
        </row>
        <row r="49">
          <cell r="H49">
            <v>99886302</v>
          </cell>
        </row>
        <row r="50">
          <cell r="H50">
            <v>78405390</v>
          </cell>
        </row>
        <row r="51">
          <cell r="H51">
            <v>568407420</v>
          </cell>
        </row>
        <row r="62">
          <cell r="H62">
            <v>386150860</v>
          </cell>
        </row>
        <row r="63">
          <cell r="H63">
            <v>105766840</v>
          </cell>
        </row>
        <row r="66">
          <cell r="H66">
            <v>58870880</v>
          </cell>
        </row>
        <row r="74">
          <cell r="H74">
            <v>48646440</v>
          </cell>
        </row>
        <row r="75">
          <cell r="H75">
            <v>38286550</v>
          </cell>
        </row>
        <row r="76">
          <cell r="H76">
            <v>900860</v>
          </cell>
        </row>
        <row r="78">
          <cell r="H78">
            <v>450430</v>
          </cell>
        </row>
        <row r="81">
          <cell r="H81">
            <v>0</v>
          </cell>
        </row>
        <row r="83">
          <cell r="H83">
            <v>81364622</v>
          </cell>
        </row>
        <row r="84">
          <cell r="H84">
            <v>144122465</v>
          </cell>
        </row>
        <row r="85">
          <cell r="H85">
            <v>2365620</v>
          </cell>
        </row>
        <row r="86">
          <cell r="H86">
            <v>8803734</v>
          </cell>
        </row>
        <row r="87">
          <cell r="H87">
            <v>10014213</v>
          </cell>
        </row>
        <row r="90">
          <cell r="H90">
            <v>86000000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20190104"/>
      <sheetName val="CSGYK Jub.jutalom és felm.bér"/>
      <sheetName val="CSGYK bértervezet 12.10"/>
      <sheetName val="Engedélyezett létszám (2)"/>
      <sheetName val="CSGYK bértervezet 01.04"/>
      <sheetName val="CSGYK jub,felm.javított"/>
      <sheetName val="Eng. létszám CSGYK javított"/>
      <sheetName val="bérváltozás kimutatás CSGYK"/>
      <sheetName val="KESZI 20190104"/>
      <sheetName val="KESZI 2019 bértervezet 12.10"/>
      <sheetName val="KESZI Jub.jutalom és felm.bér"/>
      <sheetName val="engedélyezett létszám (3)"/>
      <sheetName val="KESZI 2019 bértervezet 01.04"/>
      <sheetName val="KESZ jub, felmentés új"/>
      <sheetName val="eng. létszám KESZI új"/>
      <sheetName val="bérváltozás kimutatás KESZI"/>
      <sheetName val="tagdíjak"/>
      <sheetName val="tagdíjak (2)"/>
    </sheetNames>
    <sheetDataSet>
      <sheetData sheetId="0">
        <row r="19">
          <cell r="F19">
            <v>1481888</v>
          </cell>
        </row>
        <row r="24">
          <cell r="F24">
            <v>440189.84400000004</v>
          </cell>
        </row>
        <row r="37">
          <cell r="F37">
            <v>4579378.01</v>
          </cell>
        </row>
        <row r="43">
          <cell r="F43">
            <v>6340000</v>
          </cell>
        </row>
        <row r="44">
          <cell r="F44">
            <v>28322856.984999999</v>
          </cell>
        </row>
        <row r="48">
          <cell r="F48">
            <v>3528529.08</v>
          </cell>
        </row>
        <row r="49">
          <cell r="F49">
            <v>8501443.9049999993</v>
          </cell>
        </row>
        <row r="60">
          <cell r="F60">
            <v>162044882</v>
          </cell>
        </row>
        <row r="65">
          <cell r="F65">
            <v>100159837</v>
          </cell>
        </row>
        <row r="66">
          <cell r="F66">
            <v>653235698</v>
          </cell>
        </row>
        <row r="77">
          <cell r="F77">
            <v>413936235</v>
          </cell>
        </row>
        <row r="78">
          <cell r="F78">
            <v>105763099</v>
          </cell>
        </row>
        <row r="82">
          <cell r="F82">
            <v>14576640</v>
          </cell>
        </row>
        <row r="83">
          <cell r="F83">
            <v>9995600</v>
          </cell>
        </row>
        <row r="84">
          <cell r="F84">
            <v>48580727</v>
          </cell>
        </row>
        <row r="85">
          <cell r="F85">
            <v>650780</v>
          </cell>
        </row>
        <row r="86">
          <cell r="F86">
            <v>3253900</v>
          </cell>
        </row>
        <row r="87">
          <cell r="F87">
            <v>325390</v>
          </cell>
        </row>
        <row r="88">
          <cell r="F88">
            <v>3253900</v>
          </cell>
        </row>
        <row r="90">
          <cell r="F90">
            <v>67937472</v>
          </cell>
        </row>
        <row r="91">
          <cell r="F91">
            <v>910080</v>
          </cell>
        </row>
        <row r="92">
          <cell r="F92">
            <v>4550400</v>
          </cell>
        </row>
        <row r="93">
          <cell r="F93">
            <v>455040</v>
          </cell>
        </row>
        <row r="94">
          <cell r="F94">
            <v>4550400</v>
          </cell>
        </row>
        <row r="97">
          <cell r="F97">
            <v>247069247</v>
          </cell>
        </row>
        <row r="108">
          <cell r="F108">
            <v>30795820</v>
          </cell>
        </row>
        <row r="109">
          <cell r="F109">
            <v>28033099</v>
          </cell>
        </row>
        <row r="110">
          <cell r="F110">
            <v>1768001</v>
          </cell>
        </row>
        <row r="111">
          <cell r="F111">
            <v>994720</v>
          </cell>
        </row>
      </sheetData>
      <sheetData sheetId="1">
        <row r="20">
          <cell r="G20">
            <v>212349000</v>
          </cell>
        </row>
        <row r="26">
          <cell r="G26">
            <v>44677000</v>
          </cell>
        </row>
        <row r="65">
          <cell r="G65">
            <v>35970593</v>
          </cell>
        </row>
        <row r="66">
          <cell r="G66">
            <v>450000</v>
          </cell>
        </row>
        <row r="75">
          <cell r="G75">
            <v>1065911</v>
          </cell>
        </row>
        <row r="80">
          <cell r="G80">
            <v>5713235</v>
          </cell>
        </row>
        <row r="85">
          <cell r="G85">
            <v>1500000</v>
          </cell>
        </row>
        <row r="87">
          <cell r="G87">
            <v>52578874</v>
          </cell>
        </row>
        <row r="88">
          <cell r="G88">
            <v>48978874</v>
          </cell>
        </row>
        <row r="90">
          <cell r="G90">
            <v>3600000</v>
          </cell>
        </row>
        <row r="94">
          <cell r="G94">
            <v>1300000</v>
          </cell>
        </row>
        <row r="97">
          <cell r="G97">
            <v>1000000</v>
          </cell>
        </row>
        <row r="99">
          <cell r="G99">
            <v>2900000</v>
          </cell>
        </row>
        <row r="100">
          <cell r="G100">
            <v>240946865.33113477</v>
          </cell>
        </row>
        <row r="105">
          <cell r="G105">
            <v>37589415</v>
          </cell>
        </row>
        <row r="110">
          <cell r="G110">
            <v>7063937.0078740157</v>
          </cell>
        </row>
        <row r="111">
          <cell r="G111">
            <v>2560748.0314960629</v>
          </cell>
        </row>
        <row r="114">
          <cell r="G114">
            <v>62183926</v>
          </cell>
        </row>
        <row r="115">
          <cell r="G115">
            <v>39568839.291764706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4">
          <cell r="H24">
            <v>487151222</v>
          </cell>
        </row>
        <row r="25">
          <cell r="H25">
            <v>106059000</v>
          </cell>
        </row>
        <row r="64">
          <cell r="H64">
            <v>225887162</v>
          </cell>
        </row>
        <row r="65">
          <cell r="H65">
            <v>600000</v>
          </cell>
        </row>
        <row r="74">
          <cell r="H74">
            <v>6664701</v>
          </cell>
        </row>
        <row r="79">
          <cell r="H79">
            <v>5344011</v>
          </cell>
        </row>
        <row r="87">
          <cell r="H87">
            <v>63799180</v>
          </cell>
        </row>
        <row r="88">
          <cell r="H88">
            <v>54550000</v>
          </cell>
        </row>
        <row r="89">
          <cell r="H89">
            <v>405500</v>
          </cell>
        </row>
        <row r="90">
          <cell r="H90">
            <v>4294680</v>
          </cell>
        </row>
        <row r="91">
          <cell r="H91">
            <v>4549000</v>
          </cell>
        </row>
        <row r="92">
          <cell r="H92">
            <v>400000</v>
          </cell>
        </row>
        <row r="93">
          <cell r="H93">
            <v>51200000</v>
          </cell>
        </row>
        <row r="97">
          <cell r="H97">
            <v>2000000</v>
          </cell>
        </row>
        <row r="98">
          <cell r="H98">
            <v>225000000</v>
          </cell>
        </row>
        <row r="99">
          <cell r="H99">
            <v>11000000</v>
          </cell>
        </row>
        <row r="100">
          <cell r="H100">
            <v>0</v>
          </cell>
        </row>
        <row r="101">
          <cell r="H101">
            <v>2000000</v>
          </cell>
        </row>
        <row r="105">
          <cell r="H105">
            <v>12685171</v>
          </cell>
        </row>
        <row r="106">
          <cell r="H106">
            <v>51332912</v>
          </cell>
        </row>
        <row r="107">
          <cell r="H107">
            <v>412288832.6688652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65">
          <cell r="G65">
            <v>850000</v>
          </cell>
        </row>
      </sheetData>
      <sheetData sheetId="1"/>
      <sheetData sheetId="2">
        <row r="24">
          <cell r="G24">
            <v>141381508</v>
          </cell>
        </row>
        <row r="65">
          <cell r="G65">
            <v>420000</v>
          </cell>
        </row>
      </sheetData>
      <sheetData sheetId="3"/>
      <sheetData sheetId="4">
        <row r="9">
          <cell r="E9">
            <v>500000</v>
          </cell>
        </row>
        <row r="23">
          <cell r="E23">
            <v>3600000</v>
          </cell>
        </row>
        <row r="24">
          <cell r="E24">
            <v>900000</v>
          </cell>
        </row>
        <row r="25">
          <cell r="E25">
            <v>1840000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5"/>
  <sheetViews>
    <sheetView workbookViewId="0">
      <selection activeCell="A13" sqref="A13"/>
    </sheetView>
  </sheetViews>
  <sheetFormatPr defaultRowHeight="15" x14ac:dyDescent="0.25"/>
  <cols>
    <col min="1" max="1" width="38.375" style="1" customWidth="1"/>
    <col min="2" max="2" width="39.5" style="1" customWidth="1"/>
    <col min="3" max="1024" width="8.75" style="1" customWidth="1"/>
    <col min="1025" max="1025" width="9" customWidth="1"/>
  </cols>
  <sheetData>
    <row r="1" spans="1:1024" x14ac:dyDescent="0.25">
      <c r="B1" s="2" t="s">
        <v>0</v>
      </c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237" t="s">
        <v>1</v>
      </c>
      <c r="B5" s="237"/>
      <c r="C5" s="2"/>
    </row>
    <row r="6" spans="1:1024" x14ac:dyDescent="0.25">
      <c r="A6" s="237" t="s">
        <v>289</v>
      </c>
      <c r="B6" s="237"/>
    </row>
    <row r="7" spans="1:1024" x14ac:dyDescent="0.25">
      <c r="A7" s="2"/>
    </row>
    <row r="8" spans="1:1024" x14ac:dyDescent="0.25">
      <c r="A8" s="2"/>
    </row>
    <row r="11" spans="1:1024" x14ac:dyDescent="0.25">
      <c r="A11" s="237" t="s">
        <v>2</v>
      </c>
      <c r="B11" s="237"/>
    </row>
    <row r="12" spans="1:1024" x14ac:dyDescent="0.25">
      <c r="A12" s="237" t="s">
        <v>290</v>
      </c>
      <c r="B12" s="237"/>
    </row>
    <row r="13" spans="1:1024" s="96" customFormat="1" x14ac:dyDescent="0.25">
      <c r="A13" s="95"/>
      <c r="B13" s="9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ht="15.75" x14ac:dyDescent="0.25">
      <c r="A14" s="238" t="s">
        <v>3</v>
      </c>
      <c r="B14" s="238"/>
    </row>
    <row r="15" spans="1:1024" ht="15.75" x14ac:dyDescent="0.25">
      <c r="A15" s="239" t="s">
        <v>4</v>
      </c>
      <c r="B15" s="239"/>
    </row>
    <row r="16" spans="1:1024" ht="15.75" x14ac:dyDescent="0.25">
      <c r="A16" s="4"/>
      <c r="B16" s="4"/>
    </row>
    <row r="17" spans="1:2" ht="15.75" x14ac:dyDescent="0.25">
      <c r="A17" s="4"/>
      <c r="B17" s="4"/>
    </row>
    <row r="18" spans="1:2" ht="15.75" x14ac:dyDescent="0.25">
      <c r="A18" s="4"/>
    </row>
    <row r="19" spans="1:2" ht="16.5" thickBot="1" x14ac:dyDescent="0.3">
      <c r="A19" s="4"/>
    </row>
    <row r="20" spans="1:2" ht="17.25" thickTop="1" thickBot="1" x14ac:dyDescent="0.3">
      <c r="A20" s="5" t="s">
        <v>5</v>
      </c>
      <c r="B20" s="6" t="s">
        <v>6</v>
      </c>
    </row>
    <row r="21" spans="1:2" ht="48" customHeight="1" thickTop="1" thickBot="1" x14ac:dyDescent="0.3">
      <c r="A21" s="7" t="s">
        <v>7</v>
      </c>
      <c r="B21" s="8" t="s">
        <v>8</v>
      </c>
    </row>
    <row r="22" spans="1:2" ht="48" customHeight="1" thickTop="1" thickBot="1" x14ac:dyDescent="0.3">
      <c r="A22" s="7" t="s">
        <v>9</v>
      </c>
      <c r="B22" s="9" t="s">
        <v>10</v>
      </c>
    </row>
    <row r="23" spans="1:2" ht="48" customHeight="1" thickTop="1" thickBot="1" x14ac:dyDescent="0.3">
      <c r="A23" s="10" t="s">
        <v>11</v>
      </c>
      <c r="B23" s="9" t="s">
        <v>201</v>
      </c>
    </row>
    <row r="24" spans="1:2" ht="16.5" thickTop="1" x14ac:dyDescent="0.25">
      <c r="A24" s="11"/>
    </row>
    <row r="25" spans="1:2" ht="15.75" x14ac:dyDescent="0.25">
      <c r="A25" s="11"/>
    </row>
  </sheetData>
  <mergeCells count="6">
    <mergeCell ref="A5:B5"/>
    <mergeCell ref="A6:B6"/>
    <mergeCell ref="A11:B11"/>
    <mergeCell ref="A14:B14"/>
    <mergeCell ref="A15:B15"/>
    <mergeCell ref="A12:B12"/>
  </mergeCells>
  <pageMargins left="1.24015748031496" right="0.70000000000000007" top="1.1437007874015752" bottom="1.1437007874015752" header="0.75000000000000011" footer="0.7500000000000001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43"/>
  <sheetViews>
    <sheetView topLeftCell="A13" workbookViewId="0">
      <selection activeCell="D43" sqref="D43"/>
    </sheetView>
  </sheetViews>
  <sheetFormatPr defaultRowHeight="15" x14ac:dyDescent="0.25"/>
  <cols>
    <col min="1" max="1" width="52.75" style="1" customWidth="1"/>
    <col min="2" max="2" width="17.875" style="1" customWidth="1"/>
    <col min="3" max="3" width="18.875" style="1" customWidth="1"/>
    <col min="4" max="5" width="16.625" style="1" customWidth="1"/>
    <col min="6" max="6" width="8.75" style="1" customWidth="1"/>
    <col min="7" max="7" width="10.5" style="1" customWidth="1"/>
    <col min="8" max="8" width="8.75" style="196" customWidth="1"/>
    <col min="9" max="9" width="13" style="1" customWidth="1"/>
    <col min="10" max="1026" width="8.75" style="1" customWidth="1"/>
    <col min="1027" max="1027" width="9" customWidth="1"/>
  </cols>
  <sheetData>
    <row r="1" spans="1:8" x14ac:dyDescent="0.25">
      <c r="B1" s="237" t="s">
        <v>12</v>
      </c>
      <c r="C1" s="237"/>
      <c r="D1" s="3"/>
      <c r="E1" s="3"/>
    </row>
    <row r="2" spans="1:8" x14ac:dyDescent="0.25">
      <c r="B2" s="2"/>
    </row>
    <row r="3" spans="1:8" x14ac:dyDescent="0.25">
      <c r="A3" s="237" t="s">
        <v>1</v>
      </c>
      <c r="B3" s="237"/>
      <c r="C3" s="237"/>
      <c r="D3" s="3"/>
      <c r="E3" s="3"/>
    </row>
    <row r="4" spans="1:8" x14ac:dyDescent="0.25">
      <c r="A4" s="237" t="s">
        <v>293</v>
      </c>
      <c r="B4" s="237"/>
      <c r="C4" s="237"/>
      <c r="D4" s="3"/>
      <c r="E4" s="3"/>
    </row>
    <row r="5" spans="1:8" ht="15.75" x14ac:dyDescent="0.25">
      <c r="A5" s="241" t="s">
        <v>13</v>
      </c>
      <c r="B5" s="241"/>
      <c r="C5" s="241"/>
      <c r="D5" s="12"/>
      <c r="E5" s="12"/>
    </row>
    <row r="6" spans="1:8" ht="15.75" x14ac:dyDescent="0.25">
      <c r="A6" s="241" t="s">
        <v>56</v>
      </c>
      <c r="B6" s="241"/>
      <c r="C6" s="241"/>
      <c r="D6" s="12"/>
      <c r="E6" s="12"/>
    </row>
    <row r="7" spans="1:8" ht="15.75" x14ac:dyDescent="0.25">
      <c r="A7" s="12"/>
      <c r="B7" s="12"/>
      <c r="C7" s="12"/>
      <c r="D7" s="12"/>
      <c r="E7" s="12"/>
    </row>
    <row r="8" spans="1:8" ht="15.75" customHeight="1" x14ac:dyDescent="0.25">
      <c r="A8" s="240" t="s">
        <v>14</v>
      </c>
      <c r="B8" s="240"/>
      <c r="C8" s="240"/>
      <c r="D8" s="13" t="s">
        <v>15</v>
      </c>
      <c r="E8" s="13" t="s">
        <v>16</v>
      </c>
    </row>
    <row r="9" spans="1:8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5" t="s">
        <v>18</v>
      </c>
    </row>
    <row r="10" spans="1:8" ht="31.5" x14ac:dyDescent="0.25">
      <c r="A10" s="16"/>
      <c r="B10" s="17" t="s">
        <v>225</v>
      </c>
      <c r="C10" s="17" t="s">
        <v>291</v>
      </c>
      <c r="D10" s="17" t="s">
        <v>292</v>
      </c>
      <c r="E10" s="17" t="s">
        <v>292</v>
      </c>
      <c r="F10" s="18" t="s">
        <v>153</v>
      </c>
    </row>
    <row r="11" spans="1:8" ht="15.75" x14ac:dyDescent="0.25">
      <c r="A11" s="19" t="s">
        <v>19</v>
      </c>
      <c r="B11" s="20">
        <f>'2B'!B12+'2C'!B12+'2D'!B12</f>
        <v>626341278</v>
      </c>
      <c r="C11" s="20">
        <f>'2B'!C12+'2C'!C12+'2D'!C12</f>
        <v>700982110</v>
      </c>
      <c r="D11" s="20">
        <f t="shared" ref="D11:D18" si="0">SUM(C11-E11)</f>
        <v>699500222</v>
      </c>
      <c r="E11" s="20">
        <f>'2D'!C12</f>
        <v>1481888</v>
      </c>
      <c r="F11" s="21" t="s">
        <v>20</v>
      </c>
      <c r="G11" s="162"/>
      <c r="H11" s="200">
        <f>C11/B11</f>
        <v>1.1191695879255144</v>
      </c>
    </row>
    <row r="12" spans="1:8" ht="15.75" x14ac:dyDescent="0.25">
      <c r="A12" s="19" t="s">
        <v>21</v>
      </c>
      <c r="B12" s="20">
        <f>'2B'!B13+'2C'!B13+'2D'!B13</f>
        <v>133781601.06</v>
      </c>
      <c r="C12" s="20">
        <f>'2B'!C13+'2C'!C13+'2D'!C13</f>
        <v>151176189.84400001</v>
      </c>
      <c r="D12" s="20">
        <f t="shared" si="0"/>
        <v>150736000</v>
      </c>
      <c r="E12" s="20">
        <f>'2D'!C13</f>
        <v>440189.84400000004</v>
      </c>
      <c r="F12" s="21" t="s">
        <v>22</v>
      </c>
      <c r="G12" s="162"/>
      <c r="H12" s="200">
        <f t="shared" ref="H12:H20" si="1">C12/B12</f>
        <v>1.1300222799411608</v>
      </c>
    </row>
    <row r="13" spans="1:8" ht="15.75" x14ac:dyDescent="0.25">
      <c r="A13" s="19" t="s">
        <v>23</v>
      </c>
      <c r="B13" s="20">
        <f>'2B'!B14+'2C'!B14+'2D'!B14</f>
        <v>245613866</v>
      </c>
      <c r="C13" s="20">
        <f>'2B'!C14+'2C'!C14+'2D'!C14</f>
        <v>266437133.00999999</v>
      </c>
      <c r="D13" s="20">
        <f t="shared" si="0"/>
        <v>261857755</v>
      </c>
      <c r="E13" s="20">
        <f>'2D'!C14</f>
        <v>4579378.01</v>
      </c>
      <c r="F13" s="21" t="s">
        <v>24</v>
      </c>
      <c r="G13" s="162"/>
      <c r="H13" s="200">
        <f t="shared" si="1"/>
        <v>1.0847805026203203</v>
      </c>
    </row>
    <row r="14" spans="1:8" ht="15.75" x14ac:dyDescent="0.25">
      <c r="A14" s="19" t="s">
        <v>25</v>
      </c>
      <c r="B14" s="20">
        <f>'2B'!B15+'2C'!B15+'2D'!B15</f>
        <v>7610000</v>
      </c>
      <c r="C14" s="20">
        <f>'2B'!C15+'2C'!C15+'2D'!C15</f>
        <v>7390000</v>
      </c>
      <c r="D14" s="20">
        <f t="shared" si="0"/>
        <v>1050000</v>
      </c>
      <c r="E14" s="20">
        <f>'2D'!C15</f>
        <v>6340000</v>
      </c>
      <c r="F14" s="21" t="s">
        <v>26</v>
      </c>
      <c r="G14" s="162"/>
      <c r="H14" s="200">
        <f t="shared" si="1"/>
        <v>0.97109067017082784</v>
      </c>
    </row>
    <row r="15" spans="1:8" ht="30" x14ac:dyDescent="0.25">
      <c r="A15" s="19" t="s">
        <v>27</v>
      </c>
      <c r="B15" s="20">
        <f>'2B'!B16+'2C'!B16+'2D'!B17</f>
        <v>220414437</v>
      </c>
      <c r="C15" s="20">
        <f>'2B'!C16+'2C'!C16+'2D'!C17</f>
        <v>280992577</v>
      </c>
      <c r="D15" s="20">
        <f t="shared" si="0"/>
        <v>18787858</v>
      </c>
      <c r="E15" s="20">
        <f>'2D'!C17</f>
        <v>262204719</v>
      </c>
      <c r="F15" s="22" t="s">
        <v>28</v>
      </c>
      <c r="G15" s="162"/>
      <c r="H15" s="200">
        <f t="shared" si="1"/>
        <v>1.2748374417960653</v>
      </c>
    </row>
    <row r="16" spans="1:8" ht="15.75" x14ac:dyDescent="0.25">
      <c r="A16" s="19" t="s">
        <v>29</v>
      </c>
      <c r="B16" s="23">
        <v>0</v>
      </c>
      <c r="C16" s="23">
        <v>0</v>
      </c>
      <c r="D16" s="20">
        <f t="shared" si="0"/>
        <v>0</v>
      </c>
      <c r="E16" s="20">
        <v>0</v>
      </c>
      <c r="F16" s="21" t="s">
        <v>30</v>
      </c>
      <c r="G16" s="162"/>
      <c r="H16" s="200" t="e">
        <f t="shared" si="1"/>
        <v>#DIV/0!</v>
      </c>
    </row>
    <row r="17" spans="1:8" ht="15.75" x14ac:dyDescent="0.25">
      <c r="A17" s="24" t="s">
        <v>31</v>
      </c>
      <c r="B17" s="26">
        <f>SUM(B11:B16)</f>
        <v>1233761182.0599999</v>
      </c>
      <c r="C17" s="26">
        <f>SUM(C11:C16)</f>
        <v>1406978009.8540001</v>
      </c>
      <c r="D17" s="27">
        <f t="shared" si="0"/>
        <v>1131931835</v>
      </c>
      <c r="E17" s="26">
        <f>SUM(E11:E16)</f>
        <v>275046174.85399997</v>
      </c>
      <c r="G17" s="162"/>
      <c r="H17" s="200">
        <f t="shared" si="1"/>
        <v>1.140397372127385</v>
      </c>
    </row>
    <row r="18" spans="1:8" ht="15.75" x14ac:dyDescent="0.25">
      <c r="A18" s="19" t="s">
        <v>32</v>
      </c>
      <c r="B18" s="29">
        <f>'2D'!B20</f>
        <v>129872088.96000001</v>
      </c>
      <c r="C18" s="29">
        <f>'2D'!C20</f>
        <v>28322856.984999999</v>
      </c>
      <c r="D18" s="20">
        <f t="shared" si="0"/>
        <v>23683115</v>
      </c>
      <c r="E18" s="29">
        <f>'2D'!C20-6883280-16799835</f>
        <v>4639741.9849999994</v>
      </c>
      <c r="F18" s="21" t="s">
        <v>33</v>
      </c>
      <c r="G18" s="162"/>
      <c r="H18" s="200">
        <f t="shared" si="1"/>
        <v>0.21808270900857926</v>
      </c>
    </row>
    <row r="19" spans="1:8" ht="15.75" x14ac:dyDescent="0.25">
      <c r="A19" s="19" t="s">
        <v>34</v>
      </c>
      <c r="B19" s="23" t="s">
        <v>35</v>
      </c>
      <c r="C19" s="23" t="s">
        <v>35</v>
      </c>
      <c r="D19" s="30"/>
      <c r="E19" s="20"/>
      <c r="G19" s="162"/>
      <c r="H19" s="200" t="e">
        <f t="shared" si="1"/>
        <v>#VALUE!</v>
      </c>
    </row>
    <row r="20" spans="1:8" ht="15.75" x14ac:dyDescent="0.25">
      <c r="A20" s="31" t="s">
        <v>36</v>
      </c>
      <c r="B20" s="28">
        <f>B17+B18</f>
        <v>1363633271.02</v>
      </c>
      <c r="C20" s="28">
        <f>C17+C18</f>
        <v>1435300866.839</v>
      </c>
      <c r="D20" s="28">
        <f>SUM(C20-E20)</f>
        <v>1155614950</v>
      </c>
      <c r="E20" s="28">
        <f>SUM(E17+E18)</f>
        <v>279685916.83899999</v>
      </c>
      <c r="G20" s="162"/>
      <c r="H20" s="200">
        <f t="shared" si="1"/>
        <v>1.0525563561274744</v>
      </c>
    </row>
    <row r="21" spans="1:8" ht="15.75" x14ac:dyDescent="0.25">
      <c r="A21" s="32"/>
      <c r="B21" s="30"/>
      <c r="C21" s="30"/>
      <c r="D21" s="30"/>
      <c r="E21" s="30"/>
    </row>
    <row r="22" spans="1:8" ht="15.75" x14ac:dyDescent="0.25">
      <c r="A22" s="19" t="s">
        <v>37</v>
      </c>
      <c r="B22" s="20">
        <f>'2B'!B22+'2C'!B22+'2D'!B24</f>
        <v>268100000</v>
      </c>
      <c r="C22" s="20">
        <f>'2B'!C22+'2C'!C22+'2D'!C24</f>
        <v>293900000</v>
      </c>
      <c r="D22" s="20">
        <f t="shared" ref="D22:D29" si="2">C22-E22</f>
        <v>293900000</v>
      </c>
      <c r="E22" s="20">
        <f>'2D'!C24</f>
        <v>0</v>
      </c>
      <c r="F22" s="21" t="s">
        <v>38</v>
      </c>
      <c r="H22" s="200"/>
    </row>
    <row r="23" spans="1:8" ht="15.75" x14ac:dyDescent="0.25">
      <c r="A23" s="19" t="s">
        <v>39</v>
      </c>
      <c r="B23" s="20">
        <v>0</v>
      </c>
      <c r="C23" s="20">
        <v>0</v>
      </c>
      <c r="D23" s="20">
        <f t="shared" si="2"/>
        <v>0</v>
      </c>
      <c r="E23" s="20">
        <v>0</v>
      </c>
      <c r="F23" s="21"/>
    </row>
    <row r="24" spans="1:8" ht="45" x14ac:dyDescent="0.25">
      <c r="A24" s="19" t="s">
        <v>40</v>
      </c>
      <c r="B24" s="20">
        <f>'2B'!B23+'2C'!B23+'2D'!B26</f>
        <v>86000000</v>
      </c>
      <c r="C24" s="20">
        <f>'2B'!C23+'2C'!C23+'2D'!C26</f>
        <v>30795820</v>
      </c>
      <c r="D24" s="20">
        <f t="shared" si="2"/>
        <v>0</v>
      </c>
      <c r="E24" s="20">
        <f>'2D'!C26</f>
        <v>30795820</v>
      </c>
      <c r="F24" s="22" t="s">
        <v>41</v>
      </c>
    </row>
    <row r="25" spans="1:8" ht="15.75" x14ac:dyDescent="0.25">
      <c r="A25" s="19" t="s">
        <v>42</v>
      </c>
      <c r="B25" s="20">
        <v>0</v>
      </c>
      <c r="C25" s="20">
        <v>0</v>
      </c>
      <c r="D25" s="20">
        <f t="shared" si="2"/>
        <v>0</v>
      </c>
      <c r="E25" s="20">
        <v>0</v>
      </c>
      <c r="F25" s="21"/>
    </row>
    <row r="26" spans="1:8" ht="15.75" x14ac:dyDescent="0.25">
      <c r="A26" s="19" t="s">
        <v>43</v>
      </c>
      <c r="B26" s="20">
        <f>'2B'!B25+'2C'!B25+'2D'!B28</f>
        <v>691256500</v>
      </c>
      <c r="C26" s="20">
        <f>'2B'!C25+'2C'!C25+'2D'!C28</f>
        <v>796617717</v>
      </c>
      <c r="D26" s="20">
        <f t="shared" si="2"/>
        <v>756979877</v>
      </c>
      <c r="E26" s="20">
        <f>[1]Társulás!$H$75+[1]Társulás!$H$76+[1]Társulás!$H$78</f>
        <v>39637840</v>
      </c>
      <c r="F26" s="21" t="s">
        <v>44</v>
      </c>
    </row>
    <row r="27" spans="1:8" ht="15.75" x14ac:dyDescent="0.25">
      <c r="A27" s="19" t="s">
        <v>45</v>
      </c>
      <c r="B27" s="20">
        <f>'2D'!B29+'2C'!B26+'2B'!B26</f>
        <v>477272340</v>
      </c>
      <c r="C27" s="20">
        <f>'2D'!C29</f>
        <v>413936235</v>
      </c>
      <c r="D27" s="20">
        <f t="shared" si="2"/>
        <v>413936235</v>
      </c>
      <c r="E27" s="20">
        <v>0</v>
      </c>
      <c r="F27" s="21"/>
    </row>
    <row r="28" spans="1:8" ht="15.75" x14ac:dyDescent="0.25">
      <c r="A28" s="19" t="s">
        <v>46</v>
      </c>
      <c r="B28" s="23">
        <v>0</v>
      </c>
      <c r="C28" s="23">
        <v>0</v>
      </c>
      <c r="D28" s="20">
        <f t="shared" si="2"/>
        <v>0</v>
      </c>
      <c r="E28" s="23">
        <v>0</v>
      </c>
      <c r="F28" s="21" t="s">
        <v>47</v>
      </c>
    </row>
    <row r="29" spans="1:8" ht="15.75" x14ac:dyDescent="0.25">
      <c r="A29" s="24" t="s">
        <v>48</v>
      </c>
      <c r="B29" s="26">
        <f>B26+B22+B24</f>
        <v>1045356500</v>
      </c>
      <c r="C29" s="26">
        <f>C26+C22+C24</f>
        <v>1121313537</v>
      </c>
      <c r="D29" s="33">
        <f t="shared" si="2"/>
        <v>1050879877</v>
      </c>
      <c r="E29" s="143">
        <f>E26+E22+E24</f>
        <v>70433660</v>
      </c>
    </row>
    <row r="30" spans="1:8" ht="15.75" x14ac:dyDescent="0.25">
      <c r="A30" s="19" t="s">
        <v>189</v>
      </c>
      <c r="B30" s="23">
        <f>'2B'!B30+'2C'!B30+'2D'!B33</f>
        <v>318276771</v>
      </c>
      <c r="C30" s="23">
        <f>'2B'!C30+'2C'!C30+'2D'!C33</f>
        <v>313987330</v>
      </c>
      <c r="D30" s="20">
        <f>C30-E30</f>
        <v>104735073</v>
      </c>
      <c r="E30" s="138">
        <f>[1]Társulás!$H$83+[1]Társulás!$H$84+[1]Társulás!$H$85-13475408+588193-5713235</f>
        <v>209252257</v>
      </c>
    </row>
    <row r="31" spans="1:8" ht="15.75" x14ac:dyDescent="0.25">
      <c r="A31" s="19" t="s">
        <v>49</v>
      </c>
      <c r="B31" s="20" t="s">
        <v>35</v>
      </c>
      <c r="C31" s="20" t="s">
        <v>35</v>
      </c>
      <c r="D31" s="30"/>
      <c r="E31" s="30"/>
    </row>
    <row r="32" spans="1:8" ht="15.75" x14ac:dyDescent="0.25">
      <c r="A32" s="34" t="s">
        <v>50</v>
      </c>
      <c r="B32" s="29">
        <f>B29+B30</f>
        <v>1363633271</v>
      </c>
      <c r="C32" s="29">
        <f>C29+C30</f>
        <v>1435300867</v>
      </c>
      <c r="D32" s="28">
        <f>C32-E32</f>
        <v>1155614950</v>
      </c>
      <c r="E32" s="35">
        <f>E29+E30</f>
        <v>279685917</v>
      </c>
      <c r="G32" s="162"/>
    </row>
    <row r="33" spans="1:5" ht="15.75" x14ac:dyDescent="0.25">
      <c r="A33" s="36"/>
      <c r="B33" s="37"/>
      <c r="C33" s="37"/>
      <c r="D33" s="37"/>
      <c r="E33" s="37"/>
    </row>
    <row r="35" spans="1:5" x14ac:dyDescent="0.25">
      <c r="A35" s="1" t="s">
        <v>294</v>
      </c>
    </row>
    <row r="36" spans="1:5" x14ac:dyDescent="0.25">
      <c r="B36" s="178" t="s">
        <v>218</v>
      </c>
    </row>
    <row r="37" spans="1:5" x14ac:dyDescent="0.25">
      <c r="A37" s="177"/>
      <c r="B37" s="179" t="s">
        <v>309</v>
      </c>
      <c r="C37" s="177"/>
      <c r="D37"/>
      <c r="E37"/>
    </row>
    <row r="38" spans="1:5" ht="30" x14ac:dyDescent="0.25">
      <c r="B38" s="170" t="s">
        <v>206</v>
      </c>
      <c r="C38" s="171" t="s">
        <v>148</v>
      </c>
      <c r="E38" s="1" t="s">
        <v>152</v>
      </c>
    </row>
    <row r="39" spans="1:5" ht="75" x14ac:dyDescent="0.25">
      <c r="B39" s="170" t="s">
        <v>149</v>
      </c>
      <c r="C39" s="171" t="s">
        <v>226</v>
      </c>
    </row>
    <row r="40" spans="1:5" x14ac:dyDescent="0.25">
      <c r="B40" s="170" t="s">
        <v>150</v>
      </c>
      <c r="C40" s="171" t="s">
        <v>151</v>
      </c>
    </row>
    <row r="41" spans="1:5" x14ac:dyDescent="0.25">
      <c r="B41" s="170" t="s">
        <v>155</v>
      </c>
      <c r="C41" s="171" t="s">
        <v>154</v>
      </c>
    </row>
    <row r="42" spans="1:5" x14ac:dyDescent="0.25">
      <c r="B42" s="170" t="s">
        <v>149</v>
      </c>
      <c r="C42" s="171" t="s">
        <v>156</v>
      </c>
      <c r="E42" s="1" t="s">
        <v>152</v>
      </c>
    </row>
    <row r="43" spans="1:5" ht="30" x14ac:dyDescent="0.25">
      <c r="B43" s="170" t="s">
        <v>350</v>
      </c>
      <c r="C43" s="171" t="s">
        <v>351</v>
      </c>
    </row>
  </sheetData>
  <mergeCells count="6">
    <mergeCell ref="A8:C8"/>
    <mergeCell ref="B1:C1"/>
    <mergeCell ref="A3:C3"/>
    <mergeCell ref="A4:C4"/>
    <mergeCell ref="A5:C5"/>
    <mergeCell ref="A6:C6"/>
  </mergeCells>
  <pageMargins left="0.70826771653543308" right="0.70826771653543308" top="1.1417322834645671" bottom="1.1417322834645671" header="0.74803149606299213" footer="0.74803149606299213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3"/>
  <sheetViews>
    <sheetView topLeftCell="A38" zoomScaleNormal="100" workbookViewId="0">
      <selection activeCell="C50" sqref="C50"/>
    </sheetView>
  </sheetViews>
  <sheetFormatPr defaultRowHeight="15" x14ac:dyDescent="0.25"/>
  <cols>
    <col min="1" max="1" width="48" style="1" customWidth="1"/>
    <col min="2" max="2" width="14.875" style="1" customWidth="1"/>
    <col min="3" max="4" width="16.875" style="1" customWidth="1"/>
    <col min="5" max="7" width="8.75" style="1" customWidth="1"/>
    <col min="8" max="8" width="8.75" style="196" customWidth="1"/>
    <col min="9" max="1025" width="8.75" style="1" customWidth="1"/>
    <col min="1026" max="1026" width="9" customWidth="1"/>
  </cols>
  <sheetData>
    <row r="1" spans="1:7" x14ac:dyDescent="0.25">
      <c r="B1" s="237" t="s">
        <v>51</v>
      </c>
      <c r="C1" s="237"/>
      <c r="D1" s="130"/>
    </row>
    <row r="2" spans="1:7" x14ac:dyDescent="0.25">
      <c r="B2" s="2"/>
    </row>
    <row r="3" spans="1:7" x14ac:dyDescent="0.25">
      <c r="A3" s="237" t="s">
        <v>1</v>
      </c>
      <c r="B3" s="237"/>
      <c r="C3" s="237"/>
      <c r="D3" s="130"/>
    </row>
    <row r="4" spans="1:7" x14ac:dyDescent="0.25">
      <c r="A4" s="237" t="s">
        <v>289</v>
      </c>
      <c r="B4" s="237"/>
      <c r="C4" s="237"/>
      <c r="D4" s="130"/>
    </row>
    <row r="5" spans="1:7" ht="15.75" x14ac:dyDescent="0.25">
      <c r="A5" s="241" t="s">
        <v>13</v>
      </c>
      <c r="B5" s="241"/>
      <c r="C5" s="241"/>
      <c r="D5" s="132"/>
    </row>
    <row r="6" spans="1:7" ht="15.75" x14ac:dyDescent="0.25">
      <c r="A6" s="241" t="s">
        <v>204</v>
      </c>
      <c r="B6" s="241"/>
      <c r="C6" s="241"/>
      <c r="D6" s="132"/>
    </row>
    <row r="8" spans="1:7" ht="15.75" x14ac:dyDescent="0.25">
      <c r="B8" s="12"/>
      <c r="C8" s="12" t="s">
        <v>52</v>
      </c>
      <c r="D8" s="132"/>
    </row>
    <row r="9" spans="1:7" x14ac:dyDescent="0.25">
      <c r="A9" s="38" t="s">
        <v>53</v>
      </c>
      <c r="B9" s="38"/>
      <c r="C9" s="39"/>
      <c r="D9" s="39"/>
    </row>
    <row r="10" spans="1:7" ht="15.75" x14ac:dyDescent="0.25">
      <c r="A10" s="14" t="s">
        <v>6</v>
      </c>
      <c r="B10" s="40" t="s">
        <v>17</v>
      </c>
      <c r="C10" s="40" t="s">
        <v>17</v>
      </c>
      <c r="D10" s="40" t="s">
        <v>187</v>
      </c>
      <c r="E10" s="15" t="s">
        <v>18</v>
      </c>
    </row>
    <row r="11" spans="1:7" ht="47.25" x14ac:dyDescent="0.25">
      <c r="A11" s="16"/>
      <c r="B11" s="41" t="s">
        <v>295</v>
      </c>
      <c r="C11" s="41" t="s">
        <v>296</v>
      </c>
      <c r="D11" s="41" t="s">
        <v>283</v>
      </c>
      <c r="E11" s="18" t="s">
        <v>301</v>
      </c>
    </row>
    <row r="12" spans="1:7" ht="15.75" x14ac:dyDescent="0.25">
      <c r="A12" s="19" t="s">
        <v>19</v>
      </c>
      <c r="B12" s="23">
        <v>453241200</v>
      </c>
      <c r="C12" s="23">
        <f>'[2]KESZI 20190104'!$H$24</f>
        <v>487151222</v>
      </c>
      <c r="D12" s="192">
        <f>C12/B12</f>
        <v>1.0748167245166591</v>
      </c>
      <c r="E12" s="21" t="s">
        <v>20</v>
      </c>
      <c r="G12" s="162"/>
    </row>
    <row r="13" spans="1:7" ht="15.75" x14ac:dyDescent="0.25">
      <c r="A13" s="19" t="s">
        <v>21</v>
      </c>
      <c r="B13" s="23">
        <v>97963000</v>
      </c>
      <c r="C13" s="23">
        <f>'[2]KESZI 20190104'!$H$25</f>
        <v>106059000</v>
      </c>
      <c r="D13" s="149">
        <f>C13/B13</f>
        <v>1.08264344701571</v>
      </c>
      <c r="E13" s="21" t="s">
        <v>22</v>
      </c>
      <c r="G13" s="162"/>
    </row>
    <row r="14" spans="1:7" ht="15.75" x14ac:dyDescent="0.25">
      <c r="A14" s="19" t="s">
        <v>23</v>
      </c>
      <c r="B14" s="23">
        <v>208061999</v>
      </c>
      <c r="C14" s="23">
        <f>'[2]KESZI 20190104'!$H$64</f>
        <v>225887162</v>
      </c>
      <c r="D14" s="149">
        <f>C14/B14</f>
        <v>1.0856723624961424</v>
      </c>
      <c r="E14" s="21" t="s">
        <v>24</v>
      </c>
      <c r="G14" s="162"/>
    </row>
    <row r="15" spans="1:7" ht="15.75" x14ac:dyDescent="0.25">
      <c r="A15" s="19" t="s">
        <v>25</v>
      </c>
      <c r="B15" s="23">
        <f>'[3]KESZI 2016.12.12.'!$G$65</f>
        <v>850000</v>
      </c>
      <c r="C15" s="23">
        <f>'[2]KESZI 20190104'!$H$65</f>
        <v>600000</v>
      </c>
      <c r="D15" s="149">
        <f>C15/B15</f>
        <v>0.70588235294117652</v>
      </c>
      <c r="E15" s="21" t="s">
        <v>26</v>
      </c>
      <c r="G15" s="162"/>
    </row>
    <row r="16" spans="1:7" ht="150.75" x14ac:dyDescent="0.25">
      <c r="A16" s="163" t="s">
        <v>297</v>
      </c>
      <c r="B16" s="23">
        <v>2640001</v>
      </c>
      <c r="C16" s="23">
        <f>'[2]KESZI 20190104'!$H$74+'[2]KESZI 20190104'!$H$79</f>
        <v>12008712</v>
      </c>
      <c r="D16" s="149">
        <f>C16/B16</f>
        <v>4.548752822442113</v>
      </c>
      <c r="E16" s="22" t="s">
        <v>28</v>
      </c>
      <c r="G16" s="162"/>
    </row>
    <row r="17" spans="1:5" ht="15.75" x14ac:dyDescent="0.25">
      <c r="A17" s="19" t="s">
        <v>29</v>
      </c>
      <c r="B17" s="23">
        <v>0</v>
      </c>
      <c r="C17" s="23">
        <v>0</v>
      </c>
      <c r="D17" s="149">
        <v>0</v>
      </c>
      <c r="E17" s="21" t="s">
        <v>30</v>
      </c>
    </row>
    <row r="18" spans="1:5" ht="15.75" x14ac:dyDescent="0.25">
      <c r="A18" s="24" t="s">
        <v>31</v>
      </c>
      <c r="B18" s="25">
        <f>SUM(B12:B17)</f>
        <v>762756200</v>
      </c>
      <c r="C18" s="25">
        <f>SUM(C12:C17)</f>
        <v>831706096</v>
      </c>
      <c r="D18" s="150">
        <f>C18/B18</f>
        <v>1.0903957201527827</v>
      </c>
    </row>
    <row r="19" spans="1:5" ht="15.75" x14ac:dyDescent="0.25">
      <c r="A19" s="19" t="s">
        <v>34</v>
      </c>
      <c r="B19" s="20" t="s">
        <v>35</v>
      </c>
      <c r="C19" s="20" t="s">
        <v>35</v>
      </c>
      <c r="D19" s="136"/>
    </row>
    <row r="20" spans="1:5" ht="15.75" x14ac:dyDescent="0.25">
      <c r="A20" s="31" t="s">
        <v>36</v>
      </c>
      <c r="B20" s="28">
        <f>SUM(B18)</f>
        <v>762756200</v>
      </c>
      <c r="C20" s="28">
        <f>SUM(C18)</f>
        <v>831706096</v>
      </c>
      <c r="D20" s="153">
        <f>C20/B20</f>
        <v>1.0903957201527827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37</v>
      </c>
      <c r="B22" s="23">
        <f>317000000-51200000</f>
        <v>265800000</v>
      </c>
      <c r="C22" s="23">
        <f>'[2]KESZI 20190104'!$H$92+'[2]KESZI 20190104'!$H$93+'[2]KESZI 20190104'!$H$97+'[2]KESZI 20190104'!$H$98+'[2]KESZI 20190104'!$H$99+'[2]KESZI 20190104'!$H$100+'[2]KESZI 20190104'!$H$101</f>
        <v>291600000</v>
      </c>
      <c r="D22" s="149">
        <f>C22/B22</f>
        <v>1.0970654627539504</v>
      </c>
      <c r="E22" s="21" t="s">
        <v>38</v>
      </c>
    </row>
    <row r="23" spans="1:5" ht="45" x14ac:dyDescent="0.25">
      <c r="A23" s="19" t="s">
        <v>40</v>
      </c>
      <c r="B23" s="23">
        <v>0</v>
      </c>
      <c r="C23" s="23">
        <v>0</v>
      </c>
      <c r="D23" s="23">
        <f t="shared" ref="D23:D28" si="0">C23-B23</f>
        <v>0</v>
      </c>
      <c r="E23" s="22" t="s">
        <v>41</v>
      </c>
    </row>
    <row r="24" spans="1:5" ht="15.75" x14ac:dyDescent="0.25">
      <c r="A24" s="19" t="s">
        <v>42</v>
      </c>
      <c r="B24" s="23">
        <v>0</v>
      </c>
      <c r="C24" s="23">
        <v>0</v>
      </c>
      <c r="D24" s="23">
        <f t="shared" si="0"/>
        <v>0</v>
      </c>
      <c r="E24" s="21"/>
    </row>
    <row r="25" spans="1:5" ht="15.75" x14ac:dyDescent="0.25">
      <c r="A25" s="19" t="s">
        <v>43</v>
      </c>
      <c r="B25" s="23">
        <f>52000000+4121480</f>
        <v>56121480</v>
      </c>
      <c r="C25" s="23">
        <f>'[2]KESZI 20190104'!$H$87</f>
        <v>63799180</v>
      </c>
      <c r="D25" s="149">
        <f>C25/B25</f>
        <v>1.1368050165462493</v>
      </c>
      <c r="E25" s="21" t="s">
        <v>54</v>
      </c>
    </row>
    <row r="26" spans="1:5" ht="15.75" x14ac:dyDescent="0.25">
      <c r="A26" s="19" t="s">
        <v>45</v>
      </c>
      <c r="B26" s="23">
        <f>B25</f>
        <v>56121480</v>
      </c>
      <c r="C26" s="23">
        <f>C25</f>
        <v>63799180</v>
      </c>
      <c r="D26" s="23">
        <v>0</v>
      </c>
      <c r="E26" s="21"/>
    </row>
    <row r="27" spans="1:5" ht="15.75" x14ac:dyDescent="0.25">
      <c r="A27" s="19" t="s">
        <v>55</v>
      </c>
      <c r="B27" s="23">
        <v>371834720</v>
      </c>
      <c r="C27" s="23">
        <f>'[2]KESZI 20190104'!$H$107</f>
        <v>412288832.6688652</v>
      </c>
      <c r="D27" s="149">
        <f>C27/B27</f>
        <v>1.1087959528600912</v>
      </c>
      <c r="E27" s="21" t="s">
        <v>44</v>
      </c>
    </row>
    <row r="28" spans="1:5" ht="15.75" x14ac:dyDescent="0.25">
      <c r="A28" s="19" t="s">
        <v>46</v>
      </c>
      <c r="B28" s="23">
        <v>0</v>
      </c>
      <c r="C28" s="23">
        <v>0</v>
      </c>
      <c r="D28" s="137">
        <f t="shared" si="0"/>
        <v>0</v>
      </c>
      <c r="E28" s="21" t="s">
        <v>47</v>
      </c>
    </row>
    <row r="29" spans="1:5" ht="15.75" x14ac:dyDescent="0.25">
      <c r="A29" s="24" t="s">
        <v>48</v>
      </c>
      <c r="B29" s="26">
        <f>SUM(B28+B27+B25+B23+B22)</f>
        <v>693756200</v>
      </c>
      <c r="C29" s="26">
        <f>SUM(C28+C27+C25+C23+C22)</f>
        <v>767688012.6688652</v>
      </c>
      <c r="D29" s="164">
        <f>C29/B29</f>
        <v>1.1065674262354199</v>
      </c>
    </row>
    <row r="30" spans="1:5" ht="15.75" x14ac:dyDescent="0.25">
      <c r="A30" s="19" t="s">
        <v>189</v>
      </c>
      <c r="B30" s="23">
        <v>69000000</v>
      </c>
      <c r="C30" s="23">
        <f>'[2]KESZI 20190104'!$H$105+'[2]KESZI 20190104'!$H$106</f>
        <v>64018083</v>
      </c>
      <c r="D30" s="151">
        <f>C30/B30</f>
        <v>0.92779830434782606</v>
      </c>
    </row>
    <row r="31" spans="1:5" ht="15.75" x14ac:dyDescent="0.25">
      <c r="A31" s="19" t="s">
        <v>49</v>
      </c>
      <c r="B31" s="23" t="s">
        <v>35</v>
      </c>
      <c r="C31" s="23" t="s">
        <v>35</v>
      </c>
      <c r="D31" s="138"/>
    </row>
    <row r="32" spans="1:5" ht="15.75" x14ac:dyDescent="0.25">
      <c r="A32" s="34" t="s">
        <v>50</v>
      </c>
      <c r="B32" s="29">
        <f>B29+B30</f>
        <v>762756200</v>
      </c>
      <c r="C32" s="29">
        <f>C29+C30</f>
        <v>831706095.6688652</v>
      </c>
      <c r="D32" s="165">
        <f>C32/B32</f>
        <v>1.0903957197186536</v>
      </c>
    </row>
    <row r="35" spans="1:1025" ht="30" x14ac:dyDescent="0.25">
      <c r="A35" s="100" t="s">
        <v>298</v>
      </c>
      <c r="B35" s="2" t="s">
        <v>56</v>
      </c>
    </row>
    <row r="36" spans="1:1025" ht="30" x14ac:dyDescent="0.25">
      <c r="B36" s="2" t="s">
        <v>220</v>
      </c>
      <c r="C36" s="2" t="s">
        <v>299</v>
      </c>
      <c r="D36" s="49" t="s">
        <v>303</v>
      </c>
    </row>
    <row r="37" spans="1:1025" x14ac:dyDescent="0.25">
      <c r="A37" s="43" t="s">
        <v>57</v>
      </c>
      <c r="B37" s="173">
        <v>25271840</v>
      </c>
      <c r="C37" s="173">
        <v>25880800</v>
      </c>
      <c r="D37" s="173">
        <f>C37-B37</f>
        <v>608960</v>
      </c>
      <c r="H37" s="200">
        <f>C37/B37</f>
        <v>1.0240963855421688</v>
      </c>
    </row>
    <row r="38" spans="1:1025" x14ac:dyDescent="0.25">
      <c r="A38" s="43" t="s">
        <v>58</v>
      </c>
      <c r="B38" s="173">
        <v>71214000</v>
      </c>
      <c r="C38" s="173">
        <v>63921000</v>
      </c>
      <c r="D38" s="173">
        <f t="shared" ref="D38:D47" si="1">C38-B38</f>
        <v>-7293000</v>
      </c>
      <c r="H38" s="200">
        <f t="shared" ref="H38:H48" si="2">C38/B38</f>
        <v>0.89759036144578308</v>
      </c>
    </row>
    <row r="39" spans="1:1025" x14ac:dyDescent="0.25">
      <c r="A39" s="43" t="s">
        <v>59</v>
      </c>
      <c r="B39" s="173">
        <v>8011500</v>
      </c>
      <c r="C39" s="173">
        <v>8992500</v>
      </c>
      <c r="D39" s="173">
        <f t="shared" si="1"/>
        <v>981000</v>
      </c>
      <c r="H39" s="200">
        <f t="shared" si="2"/>
        <v>1.1224489795918366</v>
      </c>
    </row>
    <row r="40" spans="1:1025" x14ac:dyDescent="0.25">
      <c r="A40" s="44" t="s">
        <v>61</v>
      </c>
      <c r="B40" s="173">
        <v>20900000</v>
      </c>
      <c r="C40" s="173">
        <f>9350000+2200000+9900000</f>
        <v>21450000</v>
      </c>
      <c r="D40" s="173">
        <f t="shared" si="1"/>
        <v>550000</v>
      </c>
      <c r="H40" s="200">
        <f t="shared" si="2"/>
        <v>1.0263157894736843</v>
      </c>
    </row>
    <row r="41" spans="1:1025" x14ac:dyDescent="0.25">
      <c r="A41" s="43" t="s">
        <v>62</v>
      </c>
      <c r="B41" s="173">
        <v>8903520</v>
      </c>
      <c r="C41" s="173">
        <v>8903520</v>
      </c>
      <c r="D41" s="173">
        <f t="shared" si="1"/>
        <v>0</v>
      </c>
      <c r="H41" s="200">
        <f t="shared" si="2"/>
        <v>1</v>
      </c>
    </row>
    <row r="42" spans="1:1025" x14ac:dyDescent="0.25">
      <c r="A42" s="43" t="s">
        <v>63</v>
      </c>
      <c r="B42" s="173">
        <v>20482000</v>
      </c>
      <c r="C42" s="173">
        <v>19404000</v>
      </c>
      <c r="D42" s="173">
        <f t="shared" si="1"/>
        <v>-1078000</v>
      </c>
      <c r="H42" s="200">
        <f t="shared" si="2"/>
        <v>0.94736842105263153</v>
      </c>
    </row>
    <row r="43" spans="1:1025" x14ac:dyDescent="0.25">
      <c r="A43" s="43" t="s">
        <v>64</v>
      </c>
      <c r="B43" s="173">
        <v>91136000</v>
      </c>
      <c r="C43" s="173">
        <v>92616063</v>
      </c>
      <c r="D43" s="173">
        <f t="shared" si="1"/>
        <v>1480063</v>
      </c>
      <c r="H43" s="200">
        <f t="shared" si="2"/>
        <v>1.0162401575667135</v>
      </c>
    </row>
    <row r="44" spans="1:1025" x14ac:dyDescent="0.25">
      <c r="A44" s="44" t="s">
        <v>65</v>
      </c>
      <c r="B44" s="173">
        <v>33220958</v>
      </c>
      <c r="C44" s="173">
        <v>33574252</v>
      </c>
      <c r="D44" s="173">
        <f t="shared" si="1"/>
        <v>353294</v>
      </c>
      <c r="H44" s="200">
        <f t="shared" si="2"/>
        <v>1.0106346722451531</v>
      </c>
    </row>
    <row r="45" spans="1:1025" ht="30" x14ac:dyDescent="0.25">
      <c r="A45" s="22" t="s">
        <v>227</v>
      </c>
      <c r="B45" s="174">
        <v>46457092</v>
      </c>
      <c r="C45" s="174">
        <v>43579173</v>
      </c>
      <c r="D45" s="173">
        <f t="shared" si="1"/>
        <v>-2877919</v>
      </c>
      <c r="H45" s="200">
        <f t="shared" si="2"/>
        <v>0.93805210623170299</v>
      </c>
    </row>
    <row r="46" spans="1:1025" x14ac:dyDescent="0.25">
      <c r="A46" s="99" t="s">
        <v>221</v>
      </c>
      <c r="B46" s="175">
        <v>23742800</v>
      </c>
      <c r="C46" s="175">
        <f>9995600+14576640</f>
        <v>24572240</v>
      </c>
      <c r="D46" s="173">
        <f t="shared" si="1"/>
        <v>829440</v>
      </c>
      <c r="H46" s="200">
        <f t="shared" si="2"/>
        <v>1.0349343801068114</v>
      </c>
    </row>
    <row r="47" spans="1:1025" s="147" customFormat="1" x14ac:dyDescent="0.25">
      <c r="A47" s="97" t="s">
        <v>223</v>
      </c>
      <c r="B47" s="174">
        <v>22495010</v>
      </c>
      <c r="C47" s="174">
        <v>69395285</v>
      </c>
      <c r="D47" s="173">
        <f t="shared" si="1"/>
        <v>46900275</v>
      </c>
      <c r="E47" s="1"/>
      <c r="F47" s="1"/>
      <c r="G47" s="1"/>
      <c r="H47" s="200">
        <f t="shared" si="2"/>
        <v>3.0849190553816159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</row>
    <row r="48" spans="1:1025" x14ac:dyDescent="0.25">
      <c r="B48" s="45">
        <f>SUM(B37:B47)</f>
        <v>371834720</v>
      </c>
      <c r="C48" s="45">
        <f>SUM(C37:C47)</f>
        <v>412288833</v>
      </c>
      <c r="D48" s="45">
        <f>SUM(D37:D47)</f>
        <v>40454113</v>
      </c>
      <c r="H48" s="200">
        <f t="shared" si="2"/>
        <v>1.1087959537506342</v>
      </c>
    </row>
    <row r="49" spans="1:1025" s="172" customFormat="1" x14ac:dyDescent="0.25">
      <c r="A49" s="1"/>
      <c r="B49" s="45"/>
      <c r="C49" s="45"/>
      <c r="D49" s="45"/>
      <c r="E49" s="1"/>
      <c r="F49" s="1"/>
      <c r="G49" s="1"/>
      <c r="H49" s="19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</row>
    <row r="50" spans="1:1025" x14ac:dyDescent="0.25">
      <c r="A50" s="1" t="s">
        <v>300</v>
      </c>
    </row>
    <row r="51" spans="1:1025" s="172" customFormat="1" x14ac:dyDescent="0.25">
      <c r="A51" s="1"/>
      <c r="B51" s="1"/>
      <c r="C51" s="1"/>
      <c r="D51" s="1"/>
      <c r="E51" s="1"/>
      <c r="F51" s="1"/>
      <c r="G51" s="1"/>
      <c r="H51" s="19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</row>
    <row r="52" spans="1:1025" s="176" customFormat="1" x14ac:dyDescent="0.25">
      <c r="A52" s="1"/>
      <c r="B52" s="1"/>
      <c r="C52" s="1"/>
      <c r="D52" s="1"/>
      <c r="E52" s="1"/>
      <c r="F52" s="1"/>
      <c r="G52" s="1"/>
      <c r="H52" s="200" t="e">
        <f t="shared" ref="H52" si="3">C52/B52</f>
        <v>#DIV/0!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</row>
    <row r="53" spans="1:1025" x14ac:dyDescent="0.25">
      <c r="A53" s="1" t="s">
        <v>294</v>
      </c>
    </row>
  </sheetData>
  <mergeCells count="5"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scale="76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7"/>
  <sheetViews>
    <sheetView topLeftCell="A28" workbookViewId="0">
      <selection activeCell="E47" sqref="E47"/>
    </sheetView>
  </sheetViews>
  <sheetFormatPr defaultRowHeight="15" x14ac:dyDescent="0.25"/>
  <cols>
    <col min="1" max="1" width="53.625" style="1" customWidth="1"/>
    <col min="2" max="2" width="13.875" style="1" customWidth="1"/>
    <col min="3" max="4" width="15" style="1" customWidth="1"/>
    <col min="5" max="1025" width="8.75" style="1" customWidth="1"/>
    <col min="1026" max="1026" width="9" customWidth="1"/>
  </cols>
  <sheetData>
    <row r="1" spans="1:5" x14ac:dyDescent="0.25">
      <c r="B1" s="237" t="s">
        <v>66</v>
      </c>
      <c r="C1" s="237"/>
      <c r="D1" s="133"/>
    </row>
    <row r="2" spans="1:5" x14ac:dyDescent="0.25">
      <c r="B2" s="2"/>
    </row>
    <row r="3" spans="1:5" x14ac:dyDescent="0.25">
      <c r="A3" s="237" t="s">
        <v>1</v>
      </c>
      <c r="B3" s="237"/>
      <c r="C3" s="237"/>
      <c r="D3" s="133"/>
    </row>
    <row r="4" spans="1:5" x14ac:dyDescent="0.25">
      <c r="A4" s="237" t="s">
        <v>289</v>
      </c>
      <c r="B4" s="237"/>
      <c r="C4" s="237"/>
      <c r="D4" s="133"/>
    </row>
    <row r="5" spans="1:5" ht="15.75" x14ac:dyDescent="0.25">
      <c r="A5" s="241" t="s">
        <v>13</v>
      </c>
      <c r="B5" s="241"/>
      <c r="C5" s="241"/>
      <c r="D5" s="135"/>
    </row>
    <row r="6" spans="1:5" ht="15.75" x14ac:dyDescent="0.25">
      <c r="A6" s="241" t="s">
        <v>205</v>
      </c>
      <c r="B6" s="241"/>
      <c r="C6" s="241"/>
      <c r="D6" s="135"/>
    </row>
    <row r="8" spans="1:5" ht="15.75" x14ac:dyDescent="0.25">
      <c r="B8" s="12"/>
      <c r="C8" s="12" t="s">
        <v>52</v>
      </c>
      <c r="D8" s="135"/>
    </row>
    <row r="9" spans="1:5" ht="15.75" customHeight="1" x14ac:dyDescent="0.25">
      <c r="A9" s="240" t="s">
        <v>201</v>
      </c>
      <c r="B9" s="240"/>
      <c r="C9" s="240"/>
      <c r="D9" s="140"/>
    </row>
    <row r="10" spans="1:5" ht="15.75" x14ac:dyDescent="0.25">
      <c r="A10" s="14" t="s">
        <v>6</v>
      </c>
      <c r="B10" s="40" t="s">
        <v>17</v>
      </c>
      <c r="C10" s="40" t="s">
        <v>17</v>
      </c>
      <c r="D10" s="40" t="s">
        <v>187</v>
      </c>
      <c r="E10" s="15" t="s">
        <v>18</v>
      </c>
    </row>
    <row r="11" spans="1:5" ht="47.25" x14ac:dyDescent="0.25">
      <c r="A11" s="16"/>
      <c r="B11" s="41" t="s">
        <v>295</v>
      </c>
      <c r="C11" s="41" t="s">
        <v>296</v>
      </c>
      <c r="D11" s="41" t="s">
        <v>284</v>
      </c>
      <c r="E11" s="18" t="s">
        <v>301</v>
      </c>
    </row>
    <row r="12" spans="1:5" ht="15.75" x14ac:dyDescent="0.25">
      <c r="A12" s="19" t="s">
        <v>19</v>
      </c>
      <c r="B12" s="20">
        <v>169072000</v>
      </c>
      <c r="C12" s="20">
        <f>'[2]CSGYK 20190104'!$G$20</f>
        <v>212349000</v>
      </c>
      <c r="D12" s="152">
        <f>C12/B12</f>
        <v>1.2559678716759723</v>
      </c>
      <c r="E12" s="21" t="s">
        <v>20</v>
      </c>
    </row>
    <row r="13" spans="1:5" ht="15.75" x14ac:dyDescent="0.25">
      <c r="A13" s="19" t="s">
        <v>21</v>
      </c>
      <c r="B13" s="20">
        <v>34907000</v>
      </c>
      <c r="C13" s="20">
        <f>'[2]CSGYK 20190104'!$G$26</f>
        <v>44677000</v>
      </c>
      <c r="D13" s="152">
        <f>C13/B13</f>
        <v>1.2798865557051595</v>
      </c>
      <c r="E13" s="21" t="s">
        <v>22</v>
      </c>
    </row>
    <row r="14" spans="1:5" ht="15.75" x14ac:dyDescent="0.25">
      <c r="A14" s="19" t="s">
        <v>23</v>
      </c>
      <c r="B14" s="20">
        <v>30529817</v>
      </c>
      <c r="C14" s="20">
        <f>'[2]CSGYK 20190104'!$G$65</f>
        <v>35970593</v>
      </c>
      <c r="D14" s="152">
        <f>C14/B14</f>
        <v>1.178211877260843</v>
      </c>
      <c r="E14" s="21" t="s">
        <v>24</v>
      </c>
    </row>
    <row r="15" spans="1:5" ht="15.75" x14ac:dyDescent="0.25">
      <c r="A15" s="19" t="s">
        <v>25</v>
      </c>
      <c r="B15" s="20">
        <f>'[3]CSGYK 2016.11.23'!$G$65</f>
        <v>420000</v>
      </c>
      <c r="C15" s="20">
        <f>'[2]CSGYK 20190104'!$G$66</f>
        <v>450000</v>
      </c>
      <c r="D15" s="152">
        <f>C15/B15</f>
        <v>1.0714285714285714</v>
      </c>
      <c r="E15" s="21" t="s">
        <v>26</v>
      </c>
    </row>
    <row r="16" spans="1:5" ht="60.75" x14ac:dyDescent="0.25">
      <c r="A16" s="163" t="s">
        <v>304</v>
      </c>
      <c r="B16" s="20">
        <v>2250000</v>
      </c>
      <c r="C16" s="20">
        <f>'[2]CSGYK 20190104'!$G$75+'[2]CSGYK 20190104'!$G$80</f>
        <v>6779146</v>
      </c>
      <c r="D16" s="152">
        <f>C16/B16</f>
        <v>3.0129537777777777</v>
      </c>
      <c r="E16" s="22" t="s">
        <v>28</v>
      </c>
    </row>
    <row r="17" spans="1:5" ht="15.75" x14ac:dyDescent="0.25">
      <c r="A17" s="19" t="s">
        <v>29</v>
      </c>
      <c r="B17" s="20">
        <v>0</v>
      </c>
      <c r="C17" s="20">
        <v>0</v>
      </c>
      <c r="D17" s="152"/>
      <c r="E17" s="21" t="s">
        <v>30</v>
      </c>
    </row>
    <row r="18" spans="1:5" ht="15.75" x14ac:dyDescent="0.25">
      <c r="A18" s="24" t="s">
        <v>31</v>
      </c>
      <c r="B18" s="25">
        <f>SUM(B12:B17)</f>
        <v>237178817</v>
      </c>
      <c r="C18" s="25">
        <f>SUM(C12:C17)</f>
        <v>300225739</v>
      </c>
      <c r="D18" s="150">
        <f>C18/B18</f>
        <v>1.2658202060262405</v>
      </c>
    </row>
    <row r="19" spans="1:5" ht="15.75" x14ac:dyDescent="0.25">
      <c r="A19" s="19" t="s">
        <v>34</v>
      </c>
      <c r="B19" s="20" t="s">
        <v>35</v>
      </c>
      <c r="C19" s="20" t="s">
        <v>35</v>
      </c>
      <c r="D19" s="136"/>
    </row>
    <row r="20" spans="1:5" ht="15.75" x14ac:dyDescent="0.25">
      <c r="A20" s="31" t="s">
        <v>36</v>
      </c>
      <c r="B20" s="28">
        <f>B18</f>
        <v>237178817</v>
      </c>
      <c r="C20" s="28">
        <f>C18</f>
        <v>300225739</v>
      </c>
      <c r="D20" s="153">
        <f>C20/B20</f>
        <v>1.2658202060262405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37</v>
      </c>
      <c r="B22" s="23">
        <v>2300000</v>
      </c>
      <c r="C22" s="23">
        <f>'[2]CSGYK 20190104'!$G$94+'[2]CSGYK 20190104'!$G$97</f>
        <v>2300000</v>
      </c>
      <c r="D22" s="149">
        <f>C22/B22</f>
        <v>1</v>
      </c>
      <c r="E22" s="21" t="s">
        <v>38</v>
      </c>
    </row>
    <row r="23" spans="1:5" ht="45" x14ac:dyDescent="0.25">
      <c r="A23" s="19" t="s">
        <v>40</v>
      </c>
      <c r="B23" s="20">
        <v>0</v>
      </c>
      <c r="C23" s="20">
        <v>0</v>
      </c>
      <c r="D23" s="149"/>
      <c r="E23" s="22" t="s">
        <v>41</v>
      </c>
    </row>
    <row r="24" spans="1:5" ht="15.75" x14ac:dyDescent="0.25">
      <c r="A24" s="19" t="s">
        <v>42</v>
      </c>
      <c r="B24" s="20">
        <v>0</v>
      </c>
      <c r="C24" s="20">
        <v>0</v>
      </c>
      <c r="D24" s="149"/>
      <c r="E24" s="21"/>
    </row>
    <row r="25" spans="1:5" ht="15.75" x14ac:dyDescent="0.25">
      <c r="A25" s="19" t="s">
        <v>43</v>
      </c>
      <c r="B25" s="20">
        <f>700000+35000000</f>
        <v>35700000</v>
      </c>
      <c r="C25" s="20">
        <f>'[2]CSGYK 20190104'!$G$85+'[2]CSGYK 20190104'!$G$87</f>
        <v>54078874</v>
      </c>
      <c r="D25" s="149">
        <f>C25/B25</f>
        <v>1.5148143977591035</v>
      </c>
      <c r="E25" s="21" t="s">
        <v>54</v>
      </c>
    </row>
    <row r="26" spans="1:5" ht="15.75" x14ac:dyDescent="0.25">
      <c r="A26" s="19" t="s">
        <v>45</v>
      </c>
      <c r="B26" s="20">
        <v>35000000</v>
      </c>
      <c r="C26" s="20">
        <f>C25-1500000</f>
        <v>52578874</v>
      </c>
      <c r="D26" s="149">
        <f>C26/B26</f>
        <v>1.5022535428571429</v>
      </c>
      <c r="E26" s="21"/>
    </row>
    <row r="27" spans="1:5" ht="15.75" x14ac:dyDescent="0.25">
      <c r="A27" s="19" t="s">
        <v>67</v>
      </c>
      <c r="B27" s="20">
        <v>196572700</v>
      </c>
      <c r="C27" s="20">
        <f>'[2]CSGYK 20190104'!$G$100</f>
        <v>240946865.33113477</v>
      </c>
      <c r="D27" s="149">
        <f>C27/B27</f>
        <v>1.2257392065690442</v>
      </c>
      <c r="E27" s="21" t="s">
        <v>44</v>
      </c>
    </row>
    <row r="28" spans="1:5" ht="15.75" x14ac:dyDescent="0.25">
      <c r="A28" s="19" t="s">
        <v>46</v>
      </c>
      <c r="B28" s="20">
        <v>0</v>
      </c>
      <c r="C28" s="20">
        <v>0</v>
      </c>
      <c r="D28" s="149"/>
      <c r="E28" s="21" t="s">
        <v>47</v>
      </c>
    </row>
    <row r="29" spans="1:5" ht="15.75" x14ac:dyDescent="0.25">
      <c r="A29" s="24" t="s">
        <v>48</v>
      </c>
      <c r="B29" s="25">
        <f>SUM(B28,B27,B25,B22)</f>
        <v>234572700</v>
      </c>
      <c r="C29" s="25">
        <f>SUM(C28,C27,C25,C22)</f>
        <v>297325739.3311348</v>
      </c>
      <c r="D29" s="150">
        <f>C29/B29</f>
        <v>1.2675206421341221</v>
      </c>
    </row>
    <row r="30" spans="1:5" ht="15.75" x14ac:dyDescent="0.25">
      <c r="A30" s="19" t="s">
        <v>188</v>
      </c>
      <c r="B30" s="20">
        <v>2606117</v>
      </c>
      <c r="C30" s="20">
        <f>'[2]CSGYK 20190104'!$G$99</f>
        <v>2900000</v>
      </c>
      <c r="D30" s="154">
        <f>C30/B30</f>
        <v>1.1127666179223725</v>
      </c>
    </row>
    <row r="31" spans="1:5" ht="15.75" x14ac:dyDescent="0.25">
      <c r="A31" s="19" t="s">
        <v>49</v>
      </c>
      <c r="B31" s="20" t="s">
        <v>35</v>
      </c>
      <c r="C31" s="20" t="s">
        <v>35</v>
      </c>
      <c r="D31" s="136"/>
    </row>
    <row r="32" spans="1:5" ht="15.75" x14ac:dyDescent="0.25">
      <c r="A32" s="34" t="s">
        <v>50</v>
      </c>
      <c r="B32" s="28">
        <f>SUM(B29+B30)</f>
        <v>237178817</v>
      </c>
      <c r="C32" s="28">
        <f>SUM(C29+C30)</f>
        <v>300225739.3311348</v>
      </c>
      <c r="D32" s="153">
        <f>C32/B32</f>
        <v>1.2658202074223803</v>
      </c>
    </row>
    <row r="34" spans="1:1025" ht="30" x14ac:dyDescent="0.25">
      <c r="A34" s="100" t="s">
        <v>302</v>
      </c>
      <c r="B34" s="2" t="s">
        <v>56</v>
      </c>
    </row>
    <row r="35" spans="1:1025" s="96" customFormat="1" ht="30" x14ac:dyDescent="0.25">
      <c r="A35" s="100"/>
      <c r="B35" s="2" t="s">
        <v>222</v>
      </c>
      <c r="C35" s="2" t="s">
        <v>301</v>
      </c>
      <c r="D35" s="49" t="s">
        <v>303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</row>
    <row r="36" spans="1:1025" x14ac:dyDescent="0.25">
      <c r="A36" s="46" t="s">
        <v>68</v>
      </c>
      <c r="B36" s="244">
        <v>88680000</v>
      </c>
      <c r="C36" s="244">
        <f>53040000+38940000</f>
        <v>91980000</v>
      </c>
      <c r="D36" s="242">
        <f>C36-B36</f>
        <v>3300000</v>
      </c>
    </row>
    <row r="37" spans="1:1025" x14ac:dyDescent="0.25">
      <c r="A37" s="46" t="s">
        <v>69</v>
      </c>
      <c r="B37" s="245"/>
      <c r="C37" s="245"/>
      <c r="D37" s="243"/>
    </row>
    <row r="38" spans="1:1025" s="131" customFormat="1" x14ac:dyDescent="0.25">
      <c r="A38" s="46" t="s">
        <v>190</v>
      </c>
      <c r="B38" s="189">
        <f>8544000+9787042</f>
        <v>18331042</v>
      </c>
      <c r="C38" s="156">
        <f>7063937+2560748</f>
        <v>9624685</v>
      </c>
      <c r="D38" s="155">
        <f>C38-B38</f>
        <v>-8706357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ht="30" x14ac:dyDescent="0.25">
      <c r="A39" s="22" t="s">
        <v>227</v>
      </c>
      <c r="B39" s="98">
        <v>59309748</v>
      </c>
      <c r="C39" s="98">
        <f>'[2]CSGYK 20190104'!$G$114</f>
        <v>62183926</v>
      </c>
      <c r="D39" s="155">
        <f>C39-B39</f>
        <v>2874178</v>
      </c>
    </row>
    <row r="40" spans="1:1025" x14ac:dyDescent="0.25">
      <c r="A40" s="99" t="s">
        <v>224</v>
      </c>
      <c r="B40" s="188">
        <f>22495010+7756900</f>
        <v>30251910</v>
      </c>
      <c r="C40" s="157">
        <f>'[2]CSGYK 20190104'!$G$115</f>
        <v>39568839.291764706</v>
      </c>
      <c r="D40" s="155">
        <f>C40-B40</f>
        <v>9316929.2917647064</v>
      </c>
    </row>
    <row r="41" spans="1:1025" s="147" customFormat="1" x14ac:dyDescent="0.25">
      <c r="A41" s="97" t="s">
        <v>348</v>
      </c>
      <c r="B41" s="98">
        <v>0</v>
      </c>
      <c r="C41" s="98">
        <f>'[2]CSGYK 20190104'!$G$105</f>
        <v>37589415</v>
      </c>
      <c r="D41" s="155">
        <f>C41-B41</f>
        <v>37589415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</row>
    <row r="42" spans="1:1025" x14ac:dyDescent="0.25">
      <c r="A42" s="1" t="s">
        <v>70</v>
      </c>
      <c r="B42" s="45">
        <f>SUM(B36:B41)</f>
        <v>196572700</v>
      </c>
      <c r="C42" s="45">
        <f>SUM(C36:C41)</f>
        <v>240946865.29176471</v>
      </c>
      <c r="D42" s="45">
        <f>C42-B42</f>
        <v>44374165.291764706</v>
      </c>
    </row>
    <row r="43" spans="1:1025" s="172" customFormat="1" x14ac:dyDescent="0.25">
      <c r="A43" s="1" t="s">
        <v>305</v>
      </c>
      <c r="B43" s="45"/>
      <c r="C43" s="45"/>
      <c r="D43" s="4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</row>
    <row r="44" spans="1:1025" s="176" customFormat="1" x14ac:dyDescent="0.25">
      <c r="A44" s="1"/>
      <c r="B44" s="45"/>
      <c r="C44" s="45"/>
      <c r="D44" s="4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</row>
    <row r="46" spans="1:1025" s="172" customForma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</row>
    <row r="47" spans="1:1025" x14ac:dyDescent="0.25">
      <c r="A47" s="1" t="s">
        <v>294</v>
      </c>
    </row>
  </sheetData>
  <mergeCells count="9">
    <mergeCell ref="D36:D37"/>
    <mergeCell ref="C36:C37"/>
    <mergeCell ref="A9:C9"/>
    <mergeCell ref="B1:C1"/>
    <mergeCell ref="A3:C3"/>
    <mergeCell ref="A4:C4"/>
    <mergeCell ref="A5:C5"/>
    <mergeCell ref="A6:C6"/>
    <mergeCell ref="B36:B37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"/>
  <sheetViews>
    <sheetView topLeftCell="A13" workbookViewId="0">
      <selection activeCell="B21" sqref="B21"/>
    </sheetView>
  </sheetViews>
  <sheetFormatPr defaultRowHeight="15" x14ac:dyDescent="0.25"/>
  <cols>
    <col min="1" max="1" width="59.125" style="1" customWidth="1"/>
    <col min="2" max="2" width="14" style="1" customWidth="1"/>
    <col min="3" max="3" width="15.125" style="1" customWidth="1"/>
    <col min="4" max="4" width="15" style="1" bestFit="1" customWidth="1"/>
    <col min="5" max="1025" width="8.75" style="1" customWidth="1"/>
    <col min="1026" max="1026" width="9" customWidth="1"/>
  </cols>
  <sheetData>
    <row r="1" spans="1:6" x14ac:dyDescent="0.25">
      <c r="B1" s="237" t="s">
        <v>71</v>
      </c>
      <c r="C1" s="237"/>
      <c r="D1" s="146"/>
    </row>
    <row r="2" spans="1:6" x14ac:dyDescent="0.25">
      <c r="B2" s="2"/>
    </row>
    <row r="3" spans="1:6" x14ac:dyDescent="0.25">
      <c r="A3" s="237" t="s">
        <v>1</v>
      </c>
      <c r="B3" s="237"/>
      <c r="C3" s="237"/>
      <c r="D3" s="146"/>
    </row>
    <row r="4" spans="1:6" x14ac:dyDescent="0.25">
      <c r="A4" s="237" t="s">
        <v>289</v>
      </c>
      <c r="B4" s="237"/>
      <c r="C4" s="237"/>
      <c r="D4" s="146"/>
    </row>
    <row r="5" spans="1:6" ht="15.75" x14ac:dyDescent="0.25">
      <c r="A5" s="241" t="s">
        <v>13</v>
      </c>
      <c r="B5" s="241"/>
      <c r="C5" s="241"/>
      <c r="D5" s="148"/>
    </row>
    <row r="6" spans="1:6" ht="15.75" x14ac:dyDescent="0.25">
      <c r="A6" s="241" t="s">
        <v>205</v>
      </c>
      <c r="B6" s="241"/>
      <c r="C6" s="241"/>
      <c r="D6" s="148"/>
    </row>
    <row r="8" spans="1:6" ht="15.75" x14ac:dyDescent="0.25">
      <c r="B8" s="12"/>
      <c r="C8" s="47"/>
      <c r="D8" s="47"/>
    </row>
    <row r="9" spans="1:6" ht="15.75" customHeight="1" x14ac:dyDescent="0.25">
      <c r="A9" s="240" t="s">
        <v>8</v>
      </c>
      <c r="B9" s="240"/>
      <c r="C9" s="240"/>
      <c r="D9" s="140"/>
    </row>
    <row r="10" spans="1:6" ht="15.75" x14ac:dyDescent="0.25">
      <c r="A10" s="14" t="s">
        <v>6</v>
      </c>
      <c r="B10" s="40" t="s">
        <v>17</v>
      </c>
      <c r="C10" s="40" t="s">
        <v>17</v>
      </c>
      <c r="D10" s="40" t="s">
        <v>187</v>
      </c>
      <c r="E10" s="15" t="s">
        <v>18</v>
      </c>
    </row>
    <row r="11" spans="1:6" ht="47.25" x14ac:dyDescent="0.25">
      <c r="A11" s="16"/>
      <c r="B11" s="41" t="s">
        <v>295</v>
      </c>
      <c r="C11" s="41" t="s">
        <v>296</v>
      </c>
      <c r="D11" s="41" t="s">
        <v>284</v>
      </c>
      <c r="E11" s="18" t="s">
        <v>301</v>
      </c>
    </row>
    <row r="12" spans="1:6" ht="15.75" x14ac:dyDescent="0.25">
      <c r="A12" s="19" t="s">
        <v>19</v>
      </c>
      <c r="B12" s="23">
        <f>[1]Társulás!$H$16</f>
        <v>4028078</v>
      </c>
      <c r="C12" s="23">
        <f>[2]Társulás!$F$19</f>
        <v>1481888</v>
      </c>
      <c r="D12" s="149">
        <f t="shared" ref="D12:D17" si="0">C12/B12</f>
        <v>0.3678895989600996</v>
      </c>
      <c r="E12" s="21" t="s">
        <v>20</v>
      </c>
      <c r="F12" s="1" t="s">
        <v>72</v>
      </c>
    </row>
    <row r="13" spans="1:6" ht="15.75" x14ac:dyDescent="0.25">
      <c r="A13" s="19" t="s">
        <v>21</v>
      </c>
      <c r="B13" s="23">
        <f>[1]Társulás!$H$21</f>
        <v>911601.06</v>
      </c>
      <c r="C13" s="23">
        <f>[2]Társulás!$F$24</f>
        <v>440189.84400000004</v>
      </c>
      <c r="D13" s="149">
        <f t="shared" si="0"/>
        <v>0.48287552890734903</v>
      </c>
      <c r="E13" s="21" t="s">
        <v>22</v>
      </c>
      <c r="F13" s="1" t="s">
        <v>72</v>
      </c>
    </row>
    <row r="14" spans="1:6" ht="15.75" x14ac:dyDescent="0.25">
      <c r="A14" s="19" t="s">
        <v>23</v>
      </c>
      <c r="B14" s="23">
        <f>[1]Társulás!$H$30</f>
        <v>7022050</v>
      </c>
      <c r="C14" s="23">
        <f>[2]Társulás!$F$37</f>
        <v>4579378.01</v>
      </c>
      <c r="D14" s="149">
        <f t="shared" si="0"/>
        <v>0.65214260935196988</v>
      </c>
      <c r="E14" s="21" t="s">
        <v>24</v>
      </c>
      <c r="F14" s="1" t="s">
        <v>72</v>
      </c>
    </row>
    <row r="15" spans="1:6" ht="15.75" x14ac:dyDescent="0.25">
      <c r="A15" s="19" t="s">
        <v>25</v>
      </c>
      <c r="B15" s="23">
        <f>[1]Társulás!$H$35</f>
        <v>6340000</v>
      </c>
      <c r="C15" s="23">
        <f>[2]Társulás!$F$43</f>
        <v>6340000</v>
      </c>
      <c r="D15" s="149">
        <f t="shared" si="0"/>
        <v>1</v>
      </c>
      <c r="E15" s="21" t="s">
        <v>157</v>
      </c>
    </row>
    <row r="16" spans="1:6" ht="15.75" x14ac:dyDescent="0.25">
      <c r="A16" s="19" t="s">
        <v>73</v>
      </c>
      <c r="B16" s="23">
        <f>[1]Társulás!$H$51</f>
        <v>568407420</v>
      </c>
      <c r="C16" s="23">
        <f>[2]Társulás!$F$66</f>
        <v>653235698</v>
      </c>
      <c r="D16" s="149">
        <f t="shared" si="0"/>
        <v>1.149238512755516</v>
      </c>
      <c r="E16" s="22" t="s">
        <v>74</v>
      </c>
    </row>
    <row r="17" spans="1:5" ht="30" x14ac:dyDescent="0.25">
      <c r="A17" s="19" t="s">
        <v>27</v>
      </c>
      <c r="B17" s="23">
        <f>[1]Társulás!$H$48+[1]Társulás!$H$49+[1]Társulás!$H$50</f>
        <v>215524436</v>
      </c>
      <c r="C17" s="23">
        <f>[2]Társulás!$F$60+[2]Társulás!$F$65</f>
        <v>262204719</v>
      </c>
      <c r="D17" s="149">
        <f t="shared" si="0"/>
        <v>1.2165892827113116</v>
      </c>
      <c r="E17" s="22" t="s">
        <v>28</v>
      </c>
    </row>
    <row r="18" spans="1:5" ht="15.75" x14ac:dyDescent="0.25">
      <c r="A18" s="19" t="s">
        <v>29</v>
      </c>
      <c r="B18" s="23">
        <v>0</v>
      </c>
      <c r="C18" s="23">
        <v>0</v>
      </c>
      <c r="D18" s="149"/>
      <c r="E18" s="21" t="s">
        <v>30</v>
      </c>
    </row>
    <row r="19" spans="1:5" ht="15.75" x14ac:dyDescent="0.25">
      <c r="A19" s="24" t="s">
        <v>31</v>
      </c>
      <c r="B19" s="25">
        <f>SUM(B12:B18)</f>
        <v>802233585.05999994</v>
      </c>
      <c r="C19" s="25">
        <f>SUM(C12:C18)</f>
        <v>928281872.85399997</v>
      </c>
      <c r="D19" s="159">
        <f>C19/B19</f>
        <v>1.1571216789491214</v>
      </c>
    </row>
    <row r="20" spans="1:5" ht="15.75" x14ac:dyDescent="0.25">
      <c r="A20" s="19" t="s">
        <v>32</v>
      </c>
      <c r="B20" s="23">
        <f>[1]Társulás!$H$36</f>
        <v>129872088.96000001</v>
      </c>
      <c r="C20" s="23">
        <f>[2]Társulás!$F$44</f>
        <v>28322856.984999999</v>
      </c>
      <c r="D20" s="149">
        <f>C20/B20</f>
        <v>0.21808270900857926</v>
      </c>
      <c r="E20" s="21" t="s">
        <v>158</v>
      </c>
    </row>
    <row r="21" spans="1:5" ht="15.75" x14ac:dyDescent="0.25">
      <c r="A21" s="19" t="s">
        <v>34</v>
      </c>
      <c r="B21" s="20" t="s">
        <v>35</v>
      </c>
      <c r="C21" s="20" t="s">
        <v>35</v>
      </c>
      <c r="D21" s="136"/>
    </row>
    <row r="22" spans="1:5" ht="15.75" x14ac:dyDescent="0.25">
      <c r="A22" s="31" t="s">
        <v>36</v>
      </c>
      <c r="B22" s="29">
        <f>SUM(B19+B20)</f>
        <v>932105674.01999998</v>
      </c>
      <c r="C22" s="29">
        <f>SUM(C19+C20)</f>
        <v>956604729.83899999</v>
      </c>
      <c r="D22" s="160">
        <f>C22/B22</f>
        <v>1.0262835604393867</v>
      </c>
    </row>
    <row r="23" spans="1:5" ht="15.75" x14ac:dyDescent="0.25">
      <c r="A23" s="32"/>
      <c r="B23" s="30"/>
      <c r="C23" s="30"/>
      <c r="D23" s="30"/>
      <c r="E23" s="48"/>
    </row>
    <row r="24" spans="1:5" ht="15.75" x14ac:dyDescent="0.25">
      <c r="A24" s="19" t="s">
        <v>37</v>
      </c>
      <c r="B24" s="23">
        <f>[1]Társulás!$H$81</f>
        <v>0</v>
      </c>
      <c r="C24" s="23">
        <f>[1]Társulás!$H$81</f>
        <v>0</v>
      </c>
      <c r="D24" s="149" t="e">
        <f>C24/B24</f>
        <v>#DIV/0!</v>
      </c>
      <c r="E24" s="21" t="s">
        <v>38</v>
      </c>
    </row>
    <row r="25" spans="1:5" ht="15.75" x14ac:dyDescent="0.25">
      <c r="A25" s="19" t="s">
        <v>39</v>
      </c>
      <c r="B25" s="23">
        <v>0</v>
      </c>
      <c r="C25" s="23">
        <v>0</v>
      </c>
      <c r="D25" s="149"/>
      <c r="E25" s="21"/>
    </row>
    <row r="26" spans="1:5" ht="45" x14ac:dyDescent="0.25">
      <c r="A26" s="163" t="s">
        <v>212</v>
      </c>
      <c r="B26" s="23">
        <f>[1]Társulás!$H$90</f>
        <v>86000000</v>
      </c>
      <c r="C26" s="23">
        <f>[2]Társulás!$F$108</f>
        <v>30795820</v>
      </c>
      <c r="D26" s="149">
        <f t="shared" ref="D26:D35" si="1">C26/B26</f>
        <v>0.35809093023255811</v>
      </c>
      <c r="E26" s="22" t="s">
        <v>41</v>
      </c>
    </row>
    <row r="27" spans="1:5" ht="15.75" x14ac:dyDescent="0.25">
      <c r="A27" s="19" t="s">
        <v>42</v>
      </c>
      <c r="B27" s="23">
        <v>0</v>
      </c>
      <c r="C27" s="23">
        <v>0</v>
      </c>
      <c r="D27" s="149"/>
      <c r="E27" s="21"/>
    </row>
    <row r="28" spans="1:5" ht="15.75" x14ac:dyDescent="0.25">
      <c r="A28" s="19" t="s">
        <v>43</v>
      </c>
      <c r="B28" s="23">
        <f>[1]Társulás!$H$62+[1]Társulás!$H$63+[1]Társulás!$H$66+[1]Társulás!$H$74</f>
        <v>599435020</v>
      </c>
      <c r="C28" s="23">
        <f>[2]Társulás!$F$77+[2]Társulás!$F$78+[2]Társulás!$F$82+[2]Társulás!$F$83+[2]Társulás!$F$84+[2]Társulás!$F$85+[2]Társulás!$F$86+[2]Társulás!$F$87+[2]Társulás!$F$88+[2]Társulás!$F$90+[2]Társulás!$F$91+[2]Társulás!$F$92+[2]Társulás!$F$93+[2]Társulás!$F$94</f>
        <v>678739663</v>
      </c>
      <c r="D28" s="149">
        <f t="shared" si="1"/>
        <v>1.1322989821315412</v>
      </c>
      <c r="E28" s="21" t="s">
        <v>159</v>
      </c>
    </row>
    <row r="29" spans="1:5" ht="15.75" x14ac:dyDescent="0.25">
      <c r="A29" s="19" t="s">
        <v>45</v>
      </c>
      <c r="B29" s="23">
        <f>[1]Társulás!$H$62</f>
        <v>386150860</v>
      </c>
      <c r="C29" s="23">
        <f>[2]Társulás!$F$77</f>
        <v>413936235</v>
      </c>
      <c r="D29" s="149">
        <f t="shared" si="1"/>
        <v>1.0719547147972168</v>
      </c>
      <c r="E29" s="21"/>
    </row>
    <row r="30" spans="1:5" ht="15.75" x14ac:dyDescent="0.25">
      <c r="A30" s="19" t="s">
        <v>67</v>
      </c>
      <c r="B30" s="23">
        <v>0</v>
      </c>
      <c r="C30" s="23">
        <v>0</v>
      </c>
      <c r="D30" s="149"/>
      <c r="E30" s="21"/>
    </row>
    <row r="31" spans="1:5" ht="15.75" x14ac:dyDescent="0.25">
      <c r="A31" s="19" t="s">
        <v>46</v>
      </c>
      <c r="B31" s="23">
        <v>0</v>
      </c>
      <c r="C31" s="23">
        <v>0</v>
      </c>
      <c r="D31" s="149"/>
      <c r="E31" s="21" t="s">
        <v>47</v>
      </c>
    </row>
    <row r="32" spans="1:5" ht="15.75" x14ac:dyDescent="0.25">
      <c r="A32" s="24" t="s">
        <v>48</v>
      </c>
      <c r="B32" s="25">
        <f>SUM(B24+B25+B26+B28+B30+B31)</f>
        <v>685435020</v>
      </c>
      <c r="C32" s="25">
        <f>SUM(C24+C25+C26+C28+C30+C31)</f>
        <v>709535483</v>
      </c>
      <c r="D32" s="158"/>
    </row>
    <row r="33" spans="1:1025" ht="15.75" x14ac:dyDescent="0.25">
      <c r="A33" s="19" t="s">
        <v>188</v>
      </c>
      <c r="B33" s="20">
        <f>[1]Társulás!$H$83+[1]Társulás!$H$84+[1]Társulás!$H$85+[1]Társulás!$H$86+[1]Társulás!$H$87</f>
        <v>246670654</v>
      </c>
      <c r="C33" s="20">
        <f>[2]Társulás!$F$97</f>
        <v>247069247</v>
      </c>
      <c r="D33" s="149">
        <f t="shared" si="1"/>
        <v>1.0016158914469007</v>
      </c>
    </row>
    <row r="34" spans="1:1025" ht="15.75" x14ac:dyDescent="0.25">
      <c r="A34" s="19" t="s">
        <v>49</v>
      </c>
      <c r="B34" s="20" t="s">
        <v>35</v>
      </c>
      <c r="C34" s="20" t="s">
        <v>35</v>
      </c>
      <c r="D34" s="136"/>
    </row>
    <row r="35" spans="1:1025" ht="15.75" x14ac:dyDescent="0.25">
      <c r="A35" s="34" t="s">
        <v>50</v>
      </c>
      <c r="B35" s="28">
        <f>B32+B33</f>
        <v>932105674</v>
      </c>
      <c r="C35" s="28">
        <f>C32+C33</f>
        <v>956604730</v>
      </c>
      <c r="D35" s="149">
        <f t="shared" si="1"/>
        <v>1.0262835606341347</v>
      </c>
    </row>
    <row r="37" spans="1:1025" s="180" customForma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</row>
    <row r="38" spans="1:1025" s="180" customFormat="1" x14ac:dyDescent="0.25">
      <c r="A38" s="1" t="s">
        <v>245</v>
      </c>
      <c r="B38" s="1" t="s">
        <v>246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s="180" customFormat="1" x14ac:dyDescent="0.25">
      <c r="A39" s="183" t="s">
        <v>306</v>
      </c>
      <c r="B39" s="185">
        <v>135699238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</row>
    <row r="40" spans="1:1025" x14ac:dyDescent="0.25">
      <c r="A40" s="183" t="s">
        <v>307</v>
      </c>
      <c r="B40" s="185">
        <v>44604742</v>
      </c>
    </row>
    <row r="41" spans="1:1025" x14ac:dyDescent="0.25">
      <c r="A41" s="184" t="s">
        <v>308</v>
      </c>
      <c r="B41" s="185">
        <v>81900694</v>
      </c>
    </row>
    <row r="42" spans="1:1025" x14ac:dyDescent="0.25">
      <c r="A42" s="184" t="s">
        <v>70</v>
      </c>
      <c r="B42" s="185">
        <f>SUM(B39:B41)</f>
        <v>262204674</v>
      </c>
    </row>
    <row r="44" spans="1:1025" x14ac:dyDescent="0.25">
      <c r="A44" s="1" t="s">
        <v>294</v>
      </c>
    </row>
  </sheetData>
  <mergeCells count="6">
    <mergeCell ref="A9:C9"/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0"/>
  <sheetViews>
    <sheetView topLeftCell="A10" workbookViewId="0">
      <selection activeCell="F15" sqref="F15"/>
    </sheetView>
  </sheetViews>
  <sheetFormatPr defaultRowHeight="15" x14ac:dyDescent="0.25"/>
  <cols>
    <col min="1" max="1" width="31.5" style="1" customWidth="1"/>
    <col min="2" max="2" width="13.75" style="1" customWidth="1"/>
    <col min="3" max="3" width="14" style="1" customWidth="1"/>
    <col min="4" max="4" width="15.25" style="1" customWidth="1"/>
    <col min="5" max="5" width="11.25" style="1" customWidth="1"/>
    <col min="6" max="6" width="14.625" style="1" customWidth="1"/>
    <col min="7" max="7" width="13.25" style="1" customWidth="1"/>
    <col min="8" max="8" width="15" style="1" customWidth="1"/>
    <col min="9" max="9" width="16.25" style="1" customWidth="1"/>
    <col min="10" max="1024" width="8.75" style="1" customWidth="1"/>
    <col min="1025" max="1025" width="9" customWidth="1"/>
  </cols>
  <sheetData>
    <row r="1" spans="1:9" x14ac:dyDescent="0.25">
      <c r="B1" s="246"/>
      <c r="C1" s="246"/>
      <c r="H1" s="2" t="s">
        <v>75</v>
      </c>
    </row>
    <row r="2" spans="1:9" x14ac:dyDescent="0.25">
      <c r="B2" s="2"/>
    </row>
    <row r="3" spans="1:9" x14ac:dyDescent="0.25">
      <c r="A3" s="237" t="s">
        <v>1</v>
      </c>
      <c r="B3" s="237"/>
      <c r="C3" s="237"/>
      <c r="D3" s="237"/>
      <c r="E3" s="237"/>
      <c r="F3" s="237"/>
      <c r="G3" s="237"/>
      <c r="H3" s="237"/>
      <c r="I3" s="237"/>
    </row>
    <row r="4" spans="1:9" x14ac:dyDescent="0.25">
      <c r="A4" s="237" t="s">
        <v>219</v>
      </c>
      <c r="B4" s="237"/>
      <c r="C4" s="237"/>
      <c r="D4" s="237"/>
      <c r="E4" s="237"/>
      <c r="F4" s="237"/>
      <c r="G4" s="237"/>
      <c r="H4" s="237"/>
      <c r="I4" s="237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237" t="s">
        <v>76</v>
      </c>
      <c r="B6" s="237"/>
      <c r="C6" s="237"/>
      <c r="D6" s="237"/>
      <c r="E6" s="237"/>
      <c r="F6" s="237"/>
      <c r="G6" s="237"/>
      <c r="H6" s="237"/>
      <c r="I6" s="237"/>
    </row>
    <row r="7" spans="1:9" x14ac:dyDescent="0.25">
      <c r="A7" s="237" t="s">
        <v>310</v>
      </c>
      <c r="B7" s="237"/>
      <c r="C7" s="237"/>
      <c r="D7" s="237"/>
      <c r="E7" s="237"/>
      <c r="F7" s="237"/>
      <c r="G7" s="237"/>
      <c r="H7" s="237"/>
      <c r="I7" s="237"/>
    </row>
    <row r="8" spans="1:9" x14ac:dyDescent="0.25">
      <c r="A8" s="237" t="s">
        <v>207</v>
      </c>
      <c r="B8" s="237"/>
      <c r="C8" s="237"/>
      <c r="D8" s="237"/>
      <c r="E8" s="237"/>
      <c r="F8" s="237"/>
      <c r="G8" s="237"/>
      <c r="H8" s="237"/>
      <c r="I8" s="237"/>
    </row>
    <row r="10" spans="1:9" x14ac:dyDescent="0.25">
      <c r="A10" s="2" t="s">
        <v>285</v>
      </c>
    </row>
    <row r="12" spans="1:9" ht="45" x14ac:dyDescent="0.25">
      <c r="A12" s="2" t="s">
        <v>77</v>
      </c>
      <c r="B12" s="49" t="s">
        <v>19</v>
      </c>
      <c r="C12" s="2" t="s">
        <v>78</v>
      </c>
      <c r="D12" s="2" t="s">
        <v>79</v>
      </c>
      <c r="E12" s="49" t="s">
        <v>80</v>
      </c>
      <c r="F12" s="2" t="s">
        <v>81</v>
      </c>
      <c r="G12" s="49" t="s">
        <v>82</v>
      </c>
      <c r="H12" s="49" t="s">
        <v>27</v>
      </c>
      <c r="I12" s="2" t="s">
        <v>70</v>
      </c>
    </row>
    <row r="13" spans="1:9" ht="44.25" customHeight="1" x14ac:dyDescent="0.25">
      <c r="A13" s="22" t="s">
        <v>10</v>
      </c>
      <c r="B13" s="50">
        <f>'2B'!C12</f>
        <v>487151222</v>
      </c>
      <c r="C13" s="50">
        <f>'2B'!C13</f>
        <v>106059000</v>
      </c>
      <c r="D13" s="50">
        <f>'2B'!C14</f>
        <v>225887162</v>
      </c>
      <c r="E13" s="50">
        <f>'2B'!C15</f>
        <v>600000</v>
      </c>
      <c r="F13" s="50">
        <v>0</v>
      </c>
      <c r="G13" s="50">
        <v>0</v>
      </c>
      <c r="H13" s="50">
        <f>'2B'!C16</f>
        <v>12008712</v>
      </c>
      <c r="I13" s="50">
        <f>SUM(B13:H13)</f>
        <v>831706096</v>
      </c>
    </row>
    <row r="14" spans="1:9" ht="40.5" customHeight="1" x14ac:dyDescent="0.25">
      <c r="A14" s="22" t="s">
        <v>201</v>
      </c>
      <c r="B14" s="50">
        <f>'2C'!C12</f>
        <v>212349000</v>
      </c>
      <c r="C14" s="50">
        <f>'2C'!C13</f>
        <v>44677000</v>
      </c>
      <c r="D14" s="50">
        <f>'2C'!C14</f>
        <v>35970593</v>
      </c>
      <c r="E14" s="50">
        <f>'2C'!C15</f>
        <v>450000</v>
      </c>
      <c r="F14" s="50">
        <v>0</v>
      </c>
      <c r="G14" s="50">
        <v>0</v>
      </c>
      <c r="H14" s="50">
        <f>'2C'!C16</f>
        <v>6779146</v>
      </c>
      <c r="I14" s="50">
        <f>SUM(B14:H14)</f>
        <v>300225739</v>
      </c>
    </row>
    <row r="15" spans="1:9" ht="40.5" customHeight="1" x14ac:dyDescent="0.25">
      <c r="A15" s="22" t="s">
        <v>8</v>
      </c>
      <c r="B15" s="50">
        <f>'2D'!C12</f>
        <v>1481888</v>
      </c>
      <c r="C15" s="50">
        <f>'2D'!C13</f>
        <v>440189.84400000004</v>
      </c>
      <c r="D15" s="50">
        <f>'2D'!C14</f>
        <v>4579378.01</v>
      </c>
      <c r="E15" s="50">
        <v>0</v>
      </c>
      <c r="F15" s="50">
        <f>'2D'!C20</f>
        <v>28322856.984999999</v>
      </c>
      <c r="G15" s="50">
        <f>'2D'!C15</f>
        <v>6340000</v>
      </c>
      <c r="H15" s="50">
        <f>'2D'!C17</f>
        <v>262204719</v>
      </c>
      <c r="I15" s="50">
        <f>SUM(B15:H15)</f>
        <v>303369031.83899999</v>
      </c>
    </row>
    <row r="16" spans="1:9" x14ac:dyDescent="0.25">
      <c r="A16" s="51" t="s">
        <v>83</v>
      </c>
      <c r="B16" s="52">
        <f t="shared" ref="B16:I16" si="0">SUM(B13:B15)</f>
        <v>700982110</v>
      </c>
      <c r="C16" s="52">
        <f t="shared" si="0"/>
        <v>151176189.84400001</v>
      </c>
      <c r="D16" s="52">
        <f t="shared" si="0"/>
        <v>266437133.00999999</v>
      </c>
      <c r="E16" s="52">
        <f t="shared" si="0"/>
        <v>1050000</v>
      </c>
      <c r="F16" s="52">
        <f t="shared" si="0"/>
        <v>28322856.984999999</v>
      </c>
      <c r="G16" s="52">
        <f t="shared" si="0"/>
        <v>6340000</v>
      </c>
      <c r="H16" s="52">
        <f t="shared" si="0"/>
        <v>280992577</v>
      </c>
      <c r="I16" s="52">
        <f t="shared" si="0"/>
        <v>1435300866.839</v>
      </c>
    </row>
    <row r="20" spans="1:1" x14ac:dyDescent="0.25">
      <c r="A20" s="1" t="s">
        <v>294</v>
      </c>
    </row>
  </sheetData>
  <mergeCells count="6">
    <mergeCell ref="A8:I8"/>
    <mergeCell ref="B1:C1"/>
    <mergeCell ref="A3:I3"/>
    <mergeCell ref="A4:I4"/>
    <mergeCell ref="A6:I6"/>
    <mergeCell ref="A7:I7"/>
  </mergeCells>
  <pageMargins left="0.70826771653543308" right="0.70826771653543308" top="1.1417322834645671" bottom="1.1417322834645671" header="0.74803149606299213" footer="0.74803149606299213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4"/>
  <sheetViews>
    <sheetView topLeftCell="A10" workbookViewId="0">
      <selection activeCell="G22" sqref="G22"/>
    </sheetView>
  </sheetViews>
  <sheetFormatPr defaultRowHeight="15" x14ac:dyDescent="0.25"/>
  <cols>
    <col min="1" max="1" width="27.25" style="1" customWidth="1"/>
    <col min="2" max="2" width="15.5" style="1" customWidth="1"/>
    <col min="3" max="3" width="16.75" style="1" customWidth="1"/>
    <col min="4" max="4" width="14" style="1" customWidth="1"/>
    <col min="5" max="5" width="20.125" style="1" customWidth="1"/>
    <col min="6" max="6" width="14" style="1" customWidth="1"/>
    <col min="7" max="7" width="14.125" style="1" customWidth="1"/>
    <col min="8" max="8" width="13.625" style="1" customWidth="1"/>
    <col min="9" max="9" width="15.25" style="1" customWidth="1"/>
    <col min="10" max="10" width="15.5" style="1" customWidth="1"/>
    <col min="11" max="11" width="19.125" style="1" customWidth="1"/>
    <col min="12" max="12" width="16" style="1" customWidth="1"/>
    <col min="13" max="1025" width="8.75" style="1" customWidth="1"/>
    <col min="1026" max="1026" width="9" customWidth="1"/>
  </cols>
  <sheetData>
    <row r="1" spans="1:12" x14ac:dyDescent="0.25">
      <c r="B1" s="246"/>
      <c r="C1" s="246"/>
      <c r="I1" s="2" t="s">
        <v>84</v>
      </c>
    </row>
    <row r="2" spans="1:12" x14ac:dyDescent="0.25">
      <c r="B2" s="2"/>
    </row>
    <row r="3" spans="1:12" x14ac:dyDescent="0.25">
      <c r="A3" s="237" t="s">
        <v>1</v>
      </c>
      <c r="B3" s="237"/>
      <c r="C3" s="237"/>
      <c r="D3" s="237"/>
      <c r="E3" s="237"/>
      <c r="F3" s="237"/>
      <c r="G3" s="237"/>
      <c r="H3" s="237"/>
      <c r="I3" s="237"/>
      <c r="J3" s="237"/>
    </row>
    <row r="4" spans="1:12" x14ac:dyDescent="0.25">
      <c r="A4" s="237" t="s">
        <v>289</v>
      </c>
      <c r="B4" s="237"/>
      <c r="C4" s="237"/>
      <c r="D4" s="237"/>
      <c r="E4" s="237"/>
      <c r="F4" s="237"/>
      <c r="G4" s="237"/>
      <c r="H4" s="237"/>
      <c r="I4" s="237"/>
      <c r="J4" s="237"/>
    </row>
    <row r="6" spans="1:12" x14ac:dyDescent="0.25">
      <c r="A6" s="237" t="s">
        <v>85</v>
      </c>
      <c r="B6" s="237"/>
      <c r="C6" s="237"/>
      <c r="D6" s="237"/>
      <c r="E6" s="237"/>
      <c r="F6" s="237"/>
      <c r="G6" s="237"/>
      <c r="H6" s="237"/>
      <c r="I6" s="237"/>
      <c r="J6" s="237"/>
    </row>
    <row r="7" spans="1:12" x14ac:dyDescent="0.25">
      <c r="A7" s="237" t="s">
        <v>310</v>
      </c>
      <c r="B7" s="237"/>
      <c r="C7" s="237"/>
      <c r="D7" s="237"/>
      <c r="E7" s="237"/>
      <c r="F7" s="237"/>
      <c r="G7" s="237"/>
      <c r="H7" s="237"/>
      <c r="I7" s="237"/>
      <c r="J7" s="237"/>
    </row>
    <row r="8" spans="1:12" x14ac:dyDescent="0.25">
      <c r="A8" s="237" t="s">
        <v>282</v>
      </c>
      <c r="B8" s="237"/>
      <c r="C8" s="237"/>
      <c r="D8" s="237"/>
      <c r="E8" s="237"/>
      <c r="F8" s="237"/>
      <c r="G8" s="237"/>
      <c r="H8" s="237"/>
      <c r="I8" s="237"/>
      <c r="J8" s="237"/>
    </row>
    <row r="10" spans="1:12" x14ac:dyDescent="0.25">
      <c r="A10" s="2" t="s">
        <v>286</v>
      </c>
    </row>
    <row r="12" spans="1:12" ht="45" x14ac:dyDescent="0.25">
      <c r="A12" s="2" t="s">
        <v>77</v>
      </c>
      <c r="B12" s="49" t="s">
        <v>86</v>
      </c>
      <c r="C12" s="49" t="s">
        <v>60</v>
      </c>
      <c r="D12" s="2" t="s">
        <v>87</v>
      </c>
      <c r="E12" s="49" t="s">
        <v>88</v>
      </c>
      <c r="F12" s="49" t="s">
        <v>202</v>
      </c>
      <c r="G12" s="49" t="s">
        <v>89</v>
      </c>
      <c r="H12" s="49" t="s">
        <v>311</v>
      </c>
      <c r="I12" s="49" t="s">
        <v>189</v>
      </c>
      <c r="J12" s="49" t="s">
        <v>70</v>
      </c>
    </row>
    <row r="13" spans="1:12" ht="42" customHeight="1" x14ac:dyDescent="0.25">
      <c r="A13" s="53" t="s">
        <v>10</v>
      </c>
      <c r="B13" s="50">
        <f>'2B'!C22</f>
        <v>291600000</v>
      </c>
      <c r="C13" s="54">
        <f>'2B'!C37+'2B'!C38+'2B'!C39+'2B'!C40+'2B'!C41+'2B'!C42+'2B'!C43+'2B'!C44</f>
        <v>274742135</v>
      </c>
      <c r="D13" s="54">
        <f>'2B'!C45</f>
        <v>43579173</v>
      </c>
      <c r="E13" s="50">
        <f>'2B'!C25</f>
        <v>63799180</v>
      </c>
      <c r="F13" s="50">
        <v>0</v>
      </c>
      <c r="G13" s="54">
        <f>'2B'!C46</f>
        <v>24572240</v>
      </c>
      <c r="H13" s="54">
        <f>'2B'!C47</f>
        <v>69395285</v>
      </c>
      <c r="I13" s="50">
        <f>'2B'!C30</f>
        <v>64018083</v>
      </c>
      <c r="J13" s="50">
        <f>SUM(B13:I13)</f>
        <v>831706096</v>
      </c>
      <c r="K13" s="161"/>
      <c r="L13" s="55"/>
    </row>
    <row r="14" spans="1:12" ht="47.25" customHeight="1" x14ac:dyDescent="0.25">
      <c r="A14" s="22" t="s">
        <v>201</v>
      </c>
      <c r="B14" s="50">
        <f>'2C'!C22</f>
        <v>2300000</v>
      </c>
      <c r="C14" s="54">
        <f>'2C'!C38+'2C'!C41+91980000</f>
        <v>139194100</v>
      </c>
      <c r="D14" s="54">
        <f>'2C'!C39</f>
        <v>62183926</v>
      </c>
      <c r="E14" s="54">
        <f>'2C'!C25</f>
        <v>54078874</v>
      </c>
      <c r="F14" s="54">
        <v>0</v>
      </c>
      <c r="G14" s="54">
        <v>0</v>
      </c>
      <c r="H14" s="50">
        <f>'2C'!C40</f>
        <v>39568839.291764706</v>
      </c>
      <c r="I14" s="50">
        <f>'2C'!C30</f>
        <v>2900000</v>
      </c>
      <c r="J14" s="50">
        <f>SUM(B14:I14)</f>
        <v>300225739.29176474</v>
      </c>
      <c r="K14" s="161"/>
      <c r="L14" s="55"/>
    </row>
    <row r="15" spans="1:12" ht="43.5" customHeight="1" x14ac:dyDescent="0.25">
      <c r="A15" s="22" t="s">
        <v>312</v>
      </c>
      <c r="B15" s="50">
        <f>'2D'!C24</f>
        <v>0</v>
      </c>
      <c r="C15" s="50">
        <v>0</v>
      </c>
      <c r="D15" s="50">
        <v>0</v>
      </c>
      <c r="E15" s="50">
        <v>0</v>
      </c>
      <c r="F15" s="50">
        <f>'2D'!C26</f>
        <v>30795820</v>
      </c>
      <c r="G15" s="50">
        <v>0</v>
      </c>
      <c r="H15" s="50">
        <f>31217200-5713235</f>
        <v>25503965</v>
      </c>
      <c r="I15" s="50">
        <f>'2D'!C33</f>
        <v>247069247</v>
      </c>
      <c r="J15" s="50">
        <f>SUM(B15:I15)</f>
        <v>303369032</v>
      </c>
      <c r="K15" s="161">
        <f>J15-'3'!I15</f>
        <v>0.16100001335144043</v>
      </c>
      <c r="L15" s="55"/>
    </row>
    <row r="16" spans="1:12" ht="15.75" x14ac:dyDescent="0.25">
      <c r="A16" s="56" t="s">
        <v>83</v>
      </c>
      <c r="B16" s="57">
        <f t="shared" ref="B16:J16" si="0">SUM(B13:B15)</f>
        <v>293900000</v>
      </c>
      <c r="C16" s="57">
        <f t="shared" si="0"/>
        <v>413936235</v>
      </c>
      <c r="D16" s="57">
        <f t="shared" si="0"/>
        <v>105763099</v>
      </c>
      <c r="E16" s="57">
        <f t="shared" si="0"/>
        <v>117878054</v>
      </c>
      <c r="F16" s="57">
        <f t="shared" si="0"/>
        <v>30795820</v>
      </c>
      <c r="G16" s="57">
        <f t="shared" si="0"/>
        <v>24572240</v>
      </c>
      <c r="H16" s="57">
        <f t="shared" si="0"/>
        <v>134468089.29176471</v>
      </c>
      <c r="I16" s="57">
        <f t="shared" si="0"/>
        <v>313987330</v>
      </c>
      <c r="J16" s="57">
        <f t="shared" si="0"/>
        <v>1435300867.2917647</v>
      </c>
      <c r="K16" s="161"/>
      <c r="L16" s="55"/>
    </row>
    <row r="18" spans="1:1025" x14ac:dyDescent="0.25">
      <c r="A18" s="1" t="s">
        <v>313</v>
      </c>
    </row>
    <row r="19" spans="1:1025" s="190" customFormat="1" x14ac:dyDescent="0.25">
      <c r="A19" s="193" t="s">
        <v>314</v>
      </c>
      <c r="B19" s="1"/>
      <c r="C19" s="185">
        <v>21071610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</row>
    <row r="20" spans="1:1025" s="190" customFormat="1" x14ac:dyDescent="0.25">
      <c r="A20" s="193" t="s">
        <v>315</v>
      </c>
      <c r="B20" s="1"/>
      <c r="C20" s="185">
        <v>1560860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</row>
    <row r="21" spans="1:1025" s="190" customFormat="1" x14ac:dyDescent="0.25">
      <c r="A21" s="193" t="s">
        <v>316</v>
      </c>
      <c r="B21" s="1"/>
      <c r="C21" s="185">
        <v>780430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</row>
    <row r="22" spans="1:1025" x14ac:dyDescent="0.25">
      <c r="A22" s="193" t="s">
        <v>317</v>
      </c>
      <c r="C22" s="185">
        <v>7804300</v>
      </c>
    </row>
    <row r="23" spans="1:1025" s="190" customFormat="1" x14ac:dyDescent="0.25">
      <c r="A23" s="193"/>
      <c r="B23" s="1"/>
      <c r="C23" s="185">
        <f>SUM(C19:C22)</f>
        <v>31217200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</row>
    <row r="24" spans="1:1025" x14ac:dyDescent="0.25">
      <c r="A24" s="1" t="s">
        <v>294</v>
      </c>
    </row>
  </sheetData>
  <mergeCells count="6">
    <mergeCell ref="A8:J8"/>
    <mergeCell ref="B1:C1"/>
    <mergeCell ref="A3:J3"/>
    <mergeCell ref="A4:J4"/>
    <mergeCell ref="A6:J6"/>
    <mergeCell ref="A7:J7"/>
  </mergeCells>
  <pageMargins left="0.70826771653543308" right="0.70826771653543308" top="1.1417322834645671" bottom="1.1417322834645671" header="0.74803149606299213" footer="0.74803149606299213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4"/>
  <sheetViews>
    <sheetView topLeftCell="A13" workbookViewId="0">
      <selection activeCell="H28" sqref="H28"/>
    </sheetView>
  </sheetViews>
  <sheetFormatPr defaultRowHeight="15" x14ac:dyDescent="0.2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94" customWidth="1"/>
    <col min="10" max="1024" width="9.375" style="1" customWidth="1"/>
    <col min="1025" max="1025" width="9" customWidth="1"/>
  </cols>
  <sheetData>
    <row r="1" spans="1:1024" x14ac:dyDescent="0.25">
      <c r="B1" s="246"/>
      <c r="C1" s="246"/>
      <c r="F1" s="2"/>
      <c r="G1" s="2" t="s">
        <v>90</v>
      </c>
    </row>
    <row r="2" spans="1:1024" x14ac:dyDescent="0.25">
      <c r="A2" s="237" t="s">
        <v>1</v>
      </c>
      <c r="B2" s="237"/>
      <c r="C2" s="237"/>
      <c r="D2" s="237"/>
      <c r="E2" s="237"/>
      <c r="F2" s="237"/>
      <c r="G2" s="237"/>
      <c r="H2" s="237"/>
    </row>
    <row r="3" spans="1:1024" x14ac:dyDescent="0.25">
      <c r="A3" s="237" t="s">
        <v>289</v>
      </c>
      <c r="B3" s="237"/>
      <c r="C3" s="237"/>
      <c r="D3" s="237"/>
      <c r="E3" s="237"/>
      <c r="F3" s="237"/>
      <c r="G3" s="237"/>
      <c r="H3" s="237"/>
    </row>
    <row r="4" spans="1:1024" x14ac:dyDescent="0.25">
      <c r="A4" s="3"/>
      <c r="B4" s="3"/>
      <c r="C4" s="3"/>
      <c r="D4" s="3"/>
      <c r="E4" s="3"/>
      <c r="F4" s="3"/>
      <c r="G4" s="3"/>
      <c r="H4" s="3"/>
    </row>
    <row r="5" spans="1:1024" x14ac:dyDescent="0.25">
      <c r="A5" s="237" t="s">
        <v>91</v>
      </c>
      <c r="B5" s="237"/>
      <c r="C5" s="237"/>
      <c r="D5" s="237"/>
      <c r="E5" s="237"/>
      <c r="F5" s="237"/>
      <c r="G5" s="237"/>
      <c r="H5" s="237"/>
    </row>
    <row r="6" spans="1:1024" x14ac:dyDescent="0.25">
      <c r="A6" s="237" t="s">
        <v>310</v>
      </c>
      <c r="B6" s="237"/>
      <c r="C6" s="237"/>
      <c r="D6" s="237"/>
      <c r="E6" s="237"/>
      <c r="F6" s="237"/>
      <c r="G6" s="237"/>
      <c r="H6" s="237"/>
    </row>
    <row r="7" spans="1:1024" x14ac:dyDescent="0.25">
      <c r="A7" s="237" t="s">
        <v>207</v>
      </c>
      <c r="B7" s="237"/>
      <c r="C7" s="237"/>
      <c r="D7" s="237"/>
      <c r="E7" s="237"/>
      <c r="F7" s="237"/>
      <c r="G7" s="237"/>
      <c r="H7" s="237"/>
    </row>
    <row r="8" spans="1:1024" x14ac:dyDescent="0.25">
      <c r="A8" s="2" t="s">
        <v>208</v>
      </c>
    </row>
    <row r="9" spans="1:1024" x14ac:dyDescent="0.25">
      <c r="A9" s="2"/>
    </row>
    <row r="10" spans="1:1024" ht="30" x14ac:dyDescent="0.25">
      <c r="A10" s="2" t="s">
        <v>77</v>
      </c>
      <c r="B10" s="49" t="s">
        <v>19</v>
      </c>
      <c r="C10" s="2" t="s">
        <v>78</v>
      </c>
      <c r="D10" s="2" t="s">
        <v>79</v>
      </c>
      <c r="E10" s="49" t="s">
        <v>80</v>
      </c>
      <c r="F10" s="2" t="s">
        <v>81</v>
      </c>
      <c r="G10" s="49" t="s">
        <v>82</v>
      </c>
      <c r="H10" s="2" t="s">
        <v>70</v>
      </c>
      <c r="AMJ10"/>
    </row>
    <row r="11" spans="1:1024" ht="30" x14ac:dyDescent="0.25">
      <c r="A11" s="22" t="s">
        <v>10</v>
      </c>
      <c r="B11" s="50">
        <f>'2B'!C12</f>
        <v>487151222</v>
      </c>
      <c r="C11" s="50">
        <f>'2B'!C13</f>
        <v>106059000</v>
      </c>
      <c r="D11" s="50">
        <f>'2B'!C14</f>
        <v>225887162</v>
      </c>
      <c r="E11" s="50">
        <f>'2B'!C15</f>
        <v>600000</v>
      </c>
      <c r="F11" s="50">
        <v>0</v>
      </c>
      <c r="G11" s="50">
        <v>0</v>
      </c>
      <c r="H11" s="50">
        <f>SUM(B11:G11)</f>
        <v>819697384</v>
      </c>
      <c r="AMJ11"/>
    </row>
    <row r="12" spans="1:1024" ht="15.75" x14ac:dyDescent="0.25">
      <c r="A12" s="22" t="s">
        <v>201</v>
      </c>
      <c r="B12" s="50">
        <f>'2C'!C12</f>
        <v>212349000</v>
      </c>
      <c r="C12" s="50">
        <f>'2C'!C13</f>
        <v>44677000</v>
      </c>
      <c r="D12" s="50">
        <f>'2C'!C14</f>
        <v>35970593</v>
      </c>
      <c r="E12" s="50">
        <f>'2C'!C15</f>
        <v>450000</v>
      </c>
      <c r="F12" s="50">
        <v>0</v>
      </c>
      <c r="G12" s="50">
        <v>0</v>
      </c>
      <c r="H12" s="50">
        <f>SUM(B12:G12)</f>
        <v>293446593</v>
      </c>
      <c r="AMJ12"/>
    </row>
    <row r="13" spans="1:1024" ht="15.75" x14ac:dyDescent="0.25">
      <c r="A13" s="22" t="s">
        <v>8</v>
      </c>
      <c r="B13" s="50">
        <f>'2D'!C12</f>
        <v>1481888</v>
      </c>
      <c r="C13" s="50">
        <f>'2D'!C13</f>
        <v>440189.84400000004</v>
      </c>
      <c r="D13" s="50">
        <f>'2D'!C14</f>
        <v>4579378.01</v>
      </c>
      <c r="E13" s="50">
        <v>0</v>
      </c>
      <c r="F13" s="50">
        <f>'2D'!C20</f>
        <v>28322856.984999999</v>
      </c>
      <c r="G13" s="50">
        <f>'2D'!C15</f>
        <v>6340000</v>
      </c>
      <c r="H13" s="50">
        <f>SUM(B13:G13)</f>
        <v>41164312.839000002</v>
      </c>
      <c r="AMJ13"/>
    </row>
    <row r="14" spans="1:1024" x14ac:dyDescent="0.25">
      <c r="A14" s="51" t="s">
        <v>83</v>
      </c>
      <c r="B14" s="52">
        <f t="shared" ref="B14:H14" si="0">SUM(B11:B13)</f>
        <v>700982110</v>
      </c>
      <c r="C14" s="52">
        <f t="shared" si="0"/>
        <v>151176189.84400001</v>
      </c>
      <c r="D14" s="52">
        <f t="shared" si="0"/>
        <v>266437133.00999999</v>
      </c>
      <c r="E14" s="52">
        <f t="shared" si="0"/>
        <v>1050000</v>
      </c>
      <c r="F14" s="52">
        <f t="shared" si="0"/>
        <v>28322856.984999999</v>
      </c>
      <c r="G14" s="52">
        <f t="shared" si="0"/>
        <v>6340000</v>
      </c>
      <c r="H14" s="52">
        <f t="shared" si="0"/>
        <v>1154308289.839</v>
      </c>
      <c r="AMJ14"/>
    </row>
    <row r="15" spans="1:1024" s="1" customFormat="1" ht="15.75" x14ac:dyDescent="0.25">
      <c r="A15" s="49"/>
      <c r="B15" s="58"/>
      <c r="C15" s="58"/>
      <c r="D15" s="58"/>
      <c r="E15" s="58"/>
      <c r="F15" s="58"/>
      <c r="G15" s="58"/>
      <c r="H15" s="59"/>
      <c r="I15" s="194"/>
    </row>
    <row r="16" spans="1:1024" s="1" customFormat="1" x14ac:dyDescent="0.25">
      <c r="A16" s="2" t="s">
        <v>209</v>
      </c>
      <c r="I16" s="194"/>
    </row>
    <row r="17" spans="1:1024" s="1" customFormat="1" x14ac:dyDescent="0.25">
      <c r="I17" s="194"/>
    </row>
    <row r="18" spans="1:1024" ht="30" x14ac:dyDescent="0.25">
      <c r="A18" s="2" t="s">
        <v>77</v>
      </c>
      <c r="B18" s="49" t="s">
        <v>86</v>
      </c>
      <c r="C18" s="49" t="s">
        <v>60</v>
      </c>
      <c r="D18" s="2" t="s">
        <v>87</v>
      </c>
      <c r="E18" s="49" t="s">
        <v>88</v>
      </c>
      <c r="F18" s="49" t="s">
        <v>89</v>
      </c>
      <c r="G18" s="49" t="s">
        <v>189</v>
      </c>
      <c r="H18" s="49" t="s">
        <v>70</v>
      </c>
      <c r="AMJ18"/>
    </row>
    <row r="19" spans="1:1024" ht="30" x14ac:dyDescent="0.25">
      <c r="A19" s="53" t="s">
        <v>10</v>
      </c>
      <c r="B19" s="50">
        <f>'2B'!C22</f>
        <v>291600000</v>
      </c>
      <c r="C19" s="54">
        <f>'2B'!C37+'2B'!C38+'2B'!C39+'2B'!C40+'2B'!C41+'2B'!C42+'2B'!C43+'2B'!C44</f>
        <v>274742135</v>
      </c>
      <c r="D19" s="54">
        <f>'4'!D13</f>
        <v>43579173</v>
      </c>
      <c r="E19" s="50">
        <f>'4'!E13+'4'!H13</f>
        <v>133194465</v>
      </c>
      <c r="F19" s="54">
        <f>'4'!G13</f>
        <v>24572240</v>
      </c>
      <c r="G19" s="54">
        <v>52009371</v>
      </c>
      <c r="H19" s="50">
        <f>SUM(B19:G19)</f>
        <v>819697384</v>
      </c>
      <c r="I19" s="194">
        <f>H11-H19</f>
        <v>0</v>
      </c>
      <c r="AMJ19"/>
    </row>
    <row r="20" spans="1:1024" ht="15.75" x14ac:dyDescent="0.25">
      <c r="A20" s="22" t="s">
        <v>201</v>
      </c>
      <c r="B20" s="50">
        <f>'2C'!C22</f>
        <v>2300000</v>
      </c>
      <c r="C20" s="54">
        <f>'4'!C14</f>
        <v>139194100</v>
      </c>
      <c r="D20" s="54">
        <f>'4'!D14</f>
        <v>62183926</v>
      </c>
      <c r="E20" s="54">
        <f>'4'!E14+'4'!H14-5713235</f>
        <v>87934478.291764706</v>
      </c>
      <c r="F20" s="54">
        <v>0</v>
      </c>
      <c r="G20" s="50">
        <v>1834089</v>
      </c>
      <c r="H20" s="50">
        <f>SUM(B20:G20)</f>
        <v>293446593.29176474</v>
      </c>
      <c r="AMJ20"/>
    </row>
    <row r="21" spans="1:1024" ht="15.75" x14ac:dyDescent="0.25">
      <c r="A21" s="22" t="s">
        <v>8</v>
      </c>
      <c r="B21" s="50">
        <f>'2D'!C24</f>
        <v>0</v>
      </c>
      <c r="C21" s="50">
        <v>0</v>
      </c>
      <c r="D21" s="50">
        <f>'4'!D15</f>
        <v>0</v>
      </c>
      <c r="E21" s="50">
        <f>'4'!H15</f>
        <v>25503965</v>
      </c>
      <c r="F21" s="50">
        <v>0</v>
      </c>
      <c r="G21" s="50">
        <v>15660348</v>
      </c>
      <c r="H21" s="50">
        <f>SUM(B21:G21)</f>
        <v>41164313</v>
      </c>
      <c r="AMJ21"/>
    </row>
    <row r="22" spans="1:1024" ht="15.75" x14ac:dyDescent="0.25">
      <c r="A22" s="56" t="s">
        <v>83</v>
      </c>
      <c r="B22" s="57">
        <f t="shared" ref="B22:H22" si="1">SUM(B19:B21)</f>
        <v>293900000</v>
      </c>
      <c r="C22" s="57">
        <f t="shared" si="1"/>
        <v>413936235</v>
      </c>
      <c r="D22" s="57">
        <f>SUM(D19:D21)</f>
        <v>105763099</v>
      </c>
      <c r="E22" s="57">
        <f t="shared" si="1"/>
        <v>246632908.29176471</v>
      </c>
      <c r="F22" s="57">
        <f t="shared" si="1"/>
        <v>24572240</v>
      </c>
      <c r="G22" s="57">
        <f t="shared" si="1"/>
        <v>69503808</v>
      </c>
      <c r="H22" s="57">
        <f t="shared" si="1"/>
        <v>1154308290.2917647</v>
      </c>
      <c r="AMJ22"/>
    </row>
    <row r="23" spans="1:1024" s="102" customFormat="1" ht="15.75" x14ac:dyDescent="0.25">
      <c r="A23" s="49"/>
      <c r="B23" s="101"/>
      <c r="C23" s="101"/>
      <c r="D23" s="101"/>
      <c r="E23" s="101"/>
      <c r="F23" s="101"/>
      <c r="G23" s="101"/>
      <c r="H23" s="101"/>
      <c r="I23" s="19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102" customFormat="1" ht="15.75" x14ac:dyDescent="0.25">
      <c r="A24" s="49" t="s">
        <v>210</v>
      </c>
      <c r="B24" s="101"/>
      <c r="C24" s="101"/>
      <c r="D24" s="101"/>
      <c r="E24" s="101" t="s">
        <v>211</v>
      </c>
      <c r="F24" s="101"/>
      <c r="G24" s="101"/>
      <c r="H24" s="101"/>
      <c r="I24" s="19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102" customFormat="1" ht="45" x14ac:dyDescent="0.25">
      <c r="A25" s="2" t="s">
        <v>77</v>
      </c>
      <c r="B25" s="49" t="s">
        <v>27</v>
      </c>
      <c r="C25" s="101"/>
      <c r="D25" s="2" t="s">
        <v>77</v>
      </c>
      <c r="E25" s="49" t="s">
        <v>349</v>
      </c>
      <c r="F25" s="101"/>
      <c r="G25" s="101"/>
      <c r="H25" s="1"/>
      <c r="I25" s="19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4" s="102" customFormat="1" ht="60" x14ac:dyDescent="0.25">
      <c r="A26" s="22" t="s">
        <v>10</v>
      </c>
      <c r="B26" s="50">
        <f>'2B'!C16</f>
        <v>12008712</v>
      </c>
      <c r="C26" s="101"/>
      <c r="D26" s="53" t="s">
        <v>10</v>
      </c>
      <c r="E26" s="50">
        <f>'2B'!C30-'5'!G19</f>
        <v>12008712</v>
      </c>
      <c r="F26" s="101"/>
      <c r="G26" s="101"/>
      <c r="H26" s="1"/>
      <c r="I26" s="19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</row>
    <row r="27" spans="1:1024" s="102" customFormat="1" ht="45" x14ac:dyDescent="0.25">
      <c r="A27" s="22" t="s">
        <v>201</v>
      </c>
      <c r="B27" s="50">
        <f>'2C'!C16</f>
        <v>6779146</v>
      </c>
      <c r="C27" s="101"/>
      <c r="D27" s="22" t="s">
        <v>201</v>
      </c>
      <c r="E27" s="50">
        <f>'2C'!C30-'5'!G20+5713235</f>
        <v>6779146</v>
      </c>
      <c r="F27" s="101"/>
      <c r="G27" s="101"/>
      <c r="H27" s="1"/>
      <c r="I27" s="19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</row>
    <row r="28" spans="1:1024" s="102" customFormat="1" ht="90" x14ac:dyDescent="0.25">
      <c r="A28" s="22" t="s">
        <v>8</v>
      </c>
      <c r="B28" s="50">
        <f>'2D'!C17</f>
        <v>262204719</v>
      </c>
      <c r="C28" s="101"/>
      <c r="D28" s="22" t="s">
        <v>318</v>
      </c>
      <c r="E28" s="50">
        <f>'2D'!C33-'5'!G21+'4'!F15</f>
        <v>262204719</v>
      </c>
      <c r="F28" s="101"/>
      <c r="G28" s="101"/>
      <c r="H28" s="1"/>
      <c r="I28" s="19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</row>
    <row r="29" spans="1:1024" s="102" customFormat="1" ht="15.75" x14ac:dyDescent="0.25">
      <c r="A29" s="51" t="s">
        <v>83</v>
      </c>
      <c r="B29" s="52">
        <f>SUM(B26:B28)</f>
        <v>280992577</v>
      </c>
      <c r="C29" s="101"/>
      <c r="D29" s="56" t="s">
        <v>83</v>
      </c>
      <c r="E29" s="57">
        <f>SUM(E26:E28)</f>
        <v>280992577</v>
      </c>
      <c r="F29" s="101"/>
      <c r="G29" s="101"/>
      <c r="H29" s="1"/>
      <c r="I29" s="19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</row>
    <row r="30" spans="1:1024" s="102" customFormat="1" ht="15.75" x14ac:dyDescent="0.25">
      <c r="A30" s="49"/>
      <c r="B30" s="101"/>
      <c r="C30" s="101"/>
      <c r="D30" s="101"/>
      <c r="E30" s="101"/>
      <c r="F30" s="101"/>
      <c r="G30" s="101"/>
      <c r="H30" s="101"/>
      <c r="I30" s="19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4" spans="1:1" x14ac:dyDescent="0.25">
      <c r="A34" s="1" t="s">
        <v>294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6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9"/>
  <sheetViews>
    <sheetView topLeftCell="A35" workbookViewId="0">
      <selection activeCell="C51" sqref="C51"/>
    </sheetView>
  </sheetViews>
  <sheetFormatPr defaultRowHeight="15" x14ac:dyDescent="0.25"/>
  <cols>
    <col min="1" max="1" width="37.5" style="1" customWidth="1"/>
    <col min="2" max="2" width="34.875" style="1" customWidth="1"/>
    <col min="3" max="3" width="18.5" style="1" customWidth="1"/>
    <col min="4" max="4" width="21.875" style="1" customWidth="1"/>
    <col min="5" max="1024" width="8.75" style="1" customWidth="1"/>
    <col min="1025" max="1025" width="9" customWidth="1"/>
  </cols>
  <sheetData>
    <row r="1" spans="1:1024" x14ac:dyDescent="0.25">
      <c r="B1" s="237" t="s">
        <v>191</v>
      </c>
      <c r="C1" s="237"/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237" t="s">
        <v>1</v>
      </c>
      <c r="B5" s="237"/>
      <c r="C5" s="237"/>
    </row>
    <row r="6" spans="1:1024" x14ac:dyDescent="0.25">
      <c r="A6" s="237" t="s">
        <v>335</v>
      </c>
      <c r="B6" s="237"/>
      <c r="C6" s="237"/>
    </row>
    <row r="9" spans="1:1024" x14ac:dyDescent="0.25">
      <c r="A9" s="237" t="s">
        <v>93</v>
      </c>
      <c r="B9" s="237"/>
      <c r="C9" s="237"/>
    </row>
    <row r="10" spans="1:1024" x14ac:dyDescent="0.25">
      <c r="A10" s="237" t="s">
        <v>94</v>
      </c>
      <c r="B10" s="237"/>
      <c r="C10" s="237"/>
    </row>
    <row r="12" spans="1:1024" x14ac:dyDescent="0.25">
      <c r="A12" s="2" t="s">
        <v>95</v>
      </c>
      <c r="B12" s="2" t="s">
        <v>96</v>
      </c>
      <c r="C12" s="2" t="s">
        <v>287</v>
      </c>
    </row>
    <row r="13" spans="1:1024" ht="51" customHeight="1" x14ac:dyDescent="0.3">
      <c r="A13" s="60" t="s">
        <v>97</v>
      </c>
      <c r="B13" s="22" t="s">
        <v>228</v>
      </c>
      <c r="C13" s="61">
        <f>'4'!C16</f>
        <v>413936235</v>
      </c>
    </row>
    <row r="14" spans="1:1024" ht="30.75" x14ac:dyDescent="0.3">
      <c r="A14" s="22" t="s">
        <v>98</v>
      </c>
      <c r="B14" s="22" t="s">
        <v>229</v>
      </c>
      <c r="C14" s="61">
        <v>14576640</v>
      </c>
    </row>
    <row r="15" spans="1:1024" s="96" customFormat="1" ht="30.75" x14ac:dyDescent="0.3">
      <c r="A15" s="22" t="s">
        <v>98</v>
      </c>
      <c r="B15" s="22" t="s">
        <v>230</v>
      </c>
      <c r="C15" s="61">
        <v>9955600</v>
      </c>
      <c r="D15" s="23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ht="45.75" x14ac:dyDescent="0.3">
      <c r="A16" s="22" t="s">
        <v>99</v>
      </c>
      <c r="B16" s="22" t="s">
        <v>357</v>
      </c>
      <c r="C16" s="233">
        <f>'4'!D13</f>
        <v>43579173</v>
      </c>
      <c r="D16" s="247">
        <f>C19+C17+C16+C18</f>
        <v>161827796</v>
      </c>
      <c r="E16" s="250" t="s">
        <v>355</v>
      </c>
    </row>
    <row r="17" spans="1:1024" ht="30.75" x14ac:dyDescent="0.3">
      <c r="A17" s="22" t="s">
        <v>99</v>
      </c>
      <c r="B17" s="22" t="s">
        <v>358</v>
      </c>
      <c r="C17" s="233">
        <f>'4'!D14</f>
        <v>62183926</v>
      </c>
      <c r="D17" s="248"/>
      <c r="E17" s="251"/>
    </row>
    <row r="18" spans="1:1024" s="201" customFormat="1" ht="45.75" x14ac:dyDescent="0.3">
      <c r="A18" s="22" t="s">
        <v>99</v>
      </c>
      <c r="B18" s="22" t="s">
        <v>359</v>
      </c>
      <c r="C18" s="233">
        <v>39795197</v>
      </c>
      <c r="D18" s="248"/>
      <c r="E18" s="25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s="180" customFormat="1" ht="45.75" x14ac:dyDescent="0.3">
      <c r="A19" s="22" t="s">
        <v>99</v>
      </c>
      <c r="B19" s="22" t="s">
        <v>334</v>
      </c>
      <c r="C19" s="233">
        <v>16269500</v>
      </c>
      <c r="D19" s="249"/>
      <c r="E19" s="25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ht="30.75" customHeight="1" x14ac:dyDescent="0.25">
      <c r="A20" s="22" t="s">
        <v>231</v>
      </c>
      <c r="B20" s="22" t="s">
        <v>232</v>
      </c>
      <c r="C20" s="253">
        <f>'tagdíjak (2)'!D37-'tagdíjak (2)'!D28</f>
        <v>55651392</v>
      </c>
      <c r="D20" s="247">
        <f>C20+C22</f>
        <v>78403392</v>
      </c>
      <c r="E20" s="250" t="s">
        <v>356</v>
      </c>
    </row>
    <row r="21" spans="1:1024" s="180" customFormat="1" ht="30.75" customHeight="1" x14ac:dyDescent="0.25">
      <c r="A21" s="22" t="s">
        <v>231</v>
      </c>
      <c r="B21" s="22" t="s">
        <v>233</v>
      </c>
      <c r="C21" s="254"/>
      <c r="D21" s="248"/>
      <c r="E21" s="25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ht="45.75" x14ac:dyDescent="0.3">
      <c r="A22" s="22" t="s">
        <v>234</v>
      </c>
      <c r="B22" s="22" t="s">
        <v>160</v>
      </c>
      <c r="C22" s="233">
        <f>'tagdíjak (2)'!E37-'tagdíjak (2)'!E28+'tagdíjak (2)'!F37-'tagdíjak (2)'!F28+'tagdíjak (2)'!G37-'tagdíjak (2)'!G28+'tagdíjak (2)'!D70-'tagdíjak (2)'!D61+'tagdíjak (2)'!E70-'tagdíjak (2)'!E61</f>
        <v>22752000</v>
      </c>
      <c r="D22" s="249"/>
      <c r="E22" s="252"/>
    </row>
    <row r="23" spans="1:1024" s="180" customFormat="1" ht="30.75" x14ac:dyDescent="0.3">
      <c r="A23" s="22" t="s">
        <v>242</v>
      </c>
      <c r="B23" s="22" t="s">
        <v>235</v>
      </c>
      <c r="C23" s="61">
        <f>'[2]CSGYK 20190104'!$G$88</f>
        <v>48978874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190" customFormat="1" ht="30.75" x14ac:dyDescent="0.3">
      <c r="A24" s="22" t="s">
        <v>242</v>
      </c>
      <c r="B24" s="22" t="s">
        <v>328</v>
      </c>
      <c r="C24" s="61">
        <f>'[2]CSGYK 20190104'!$G$90</f>
        <v>3600000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180" customFormat="1" ht="30.75" x14ac:dyDescent="0.3">
      <c r="A25" s="22" t="s">
        <v>242</v>
      </c>
      <c r="B25" s="22" t="s">
        <v>236</v>
      </c>
      <c r="C25" s="61">
        <f>'[2]KESZI 20190104'!$H$88</f>
        <v>54550000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80" customFormat="1" ht="30.75" x14ac:dyDescent="0.3">
      <c r="A26" s="22" t="s">
        <v>242</v>
      </c>
      <c r="B26" s="22" t="s">
        <v>237</v>
      </c>
      <c r="C26" s="61">
        <f>'[2]KESZI 20190104'!$H$90</f>
        <v>4294680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90" customFormat="1" ht="30.75" x14ac:dyDescent="0.3">
      <c r="A27" s="22" t="s">
        <v>242</v>
      </c>
      <c r="B27" s="22" t="s">
        <v>329</v>
      </c>
      <c r="C27" s="61">
        <f>'[2]KESZI 20190104'!$H$91</f>
        <v>4549000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190" customFormat="1" ht="30.75" x14ac:dyDescent="0.3">
      <c r="A28" s="22" t="s">
        <v>242</v>
      </c>
      <c r="B28" s="22" t="s">
        <v>330</v>
      </c>
      <c r="C28" s="61">
        <f>'[2]KESZI 20190104'!$H$89</f>
        <v>405500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180" customFormat="1" ht="30.75" x14ac:dyDescent="0.3">
      <c r="A29" s="22" t="s">
        <v>238</v>
      </c>
      <c r="B29" s="22" t="s">
        <v>239</v>
      </c>
      <c r="C29" s="61">
        <f>[2]Társulás!$F$109</f>
        <v>28033099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190" customFormat="1" ht="30.75" x14ac:dyDescent="0.3">
      <c r="A30" s="22" t="s">
        <v>331</v>
      </c>
      <c r="B30" s="22" t="s">
        <v>332</v>
      </c>
      <c r="C30" s="61">
        <f>[2]Társulás!$F$110</f>
        <v>1768001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s="190" customFormat="1" ht="30.75" x14ac:dyDescent="0.3">
      <c r="A31" s="22" t="s">
        <v>331</v>
      </c>
      <c r="B31" s="22" t="s">
        <v>333</v>
      </c>
      <c r="C31" s="61">
        <f>[2]Társulás!$F$111</f>
        <v>994720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</row>
    <row r="32" spans="1:1024" ht="18.75" x14ac:dyDescent="0.3">
      <c r="A32" s="51" t="s">
        <v>100</v>
      </c>
      <c r="B32" s="62"/>
      <c r="C32" s="63">
        <f>SUM(C22:C31,C13:C19)+26392320</f>
        <v>796614465</v>
      </c>
    </row>
    <row r="33" spans="1:1024" x14ac:dyDescent="0.25">
      <c r="B33" s="48" t="s">
        <v>101</v>
      </c>
    </row>
    <row r="35" spans="1:1024" x14ac:dyDescent="0.25">
      <c r="A35" s="237" t="s">
        <v>102</v>
      </c>
      <c r="B35" s="237"/>
      <c r="C35" s="237"/>
    </row>
    <row r="36" spans="1:1024" x14ac:dyDescent="0.25">
      <c r="A36" s="237" t="s">
        <v>94</v>
      </c>
      <c r="B36" s="237"/>
      <c r="C36" s="237"/>
    </row>
    <row r="38" spans="1:1024" x14ac:dyDescent="0.25">
      <c r="A38" s="2" t="s">
        <v>103</v>
      </c>
      <c r="B38" s="2" t="s">
        <v>104</v>
      </c>
      <c r="C38" s="2" t="s">
        <v>288</v>
      </c>
    </row>
    <row r="39" spans="1:1024" ht="18.75" x14ac:dyDescent="0.3">
      <c r="A39" s="22" t="s">
        <v>161</v>
      </c>
      <c r="B39" s="22" t="s">
        <v>162</v>
      </c>
      <c r="C39" s="64">
        <f>[3]Társulás!$E$23</f>
        <v>3600000</v>
      </c>
    </row>
    <row r="40" spans="1:1024" ht="30.75" x14ac:dyDescent="0.3">
      <c r="A40" s="22" t="s">
        <v>192</v>
      </c>
      <c r="B40" s="22" t="s">
        <v>105</v>
      </c>
      <c r="C40" s="64">
        <f>[3]Társulás!$E$24</f>
        <v>900000</v>
      </c>
    </row>
    <row r="41" spans="1:1024" ht="18.75" x14ac:dyDescent="0.3">
      <c r="A41" s="22" t="s">
        <v>106</v>
      </c>
      <c r="B41" s="22" t="s">
        <v>107</v>
      </c>
      <c r="C41" s="64">
        <f>[3]Társulás!$E$25</f>
        <v>1840000</v>
      </c>
    </row>
    <row r="42" spans="1:1024" ht="60.75" x14ac:dyDescent="0.3">
      <c r="A42" s="22" t="s">
        <v>201</v>
      </c>
      <c r="B42" s="22" t="s">
        <v>240</v>
      </c>
      <c r="C42" s="64">
        <f>'2C'!C27</f>
        <v>240946865.33113477</v>
      </c>
      <c r="I42" s="65"/>
    </row>
    <row r="43" spans="1:1024" ht="90.75" x14ac:dyDescent="0.3">
      <c r="A43" s="22" t="s">
        <v>108</v>
      </c>
      <c r="B43" s="103" t="s">
        <v>241</v>
      </c>
      <c r="C43" s="104">
        <f>'2B'!C27</f>
        <v>412288832.6688652</v>
      </c>
      <c r="F43" s="65"/>
    </row>
    <row r="44" spans="1:1024" s="134" customFormat="1" ht="30.75" x14ac:dyDescent="0.3">
      <c r="A44" s="22" t="s">
        <v>201</v>
      </c>
      <c r="B44" s="105" t="s">
        <v>193</v>
      </c>
      <c r="C44" s="106">
        <f>[2]Társulás!$F$48</f>
        <v>3528529.08</v>
      </c>
      <c r="D44" s="1"/>
      <c r="E44" s="1"/>
      <c r="F44" s="6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</row>
    <row r="45" spans="1:1024" s="134" customFormat="1" ht="30.75" x14ac:dyDescent="0.3">
      <c r="A45" s="141" t="s">
        <v>108</v>
      </c>
      <c r="B45" s="105" t="s">
        <v>193</v>
      </c>
      <c r="C45" s="106">
        <f>[2]Társulás!$F$49</f>
        <v>8501443.9049999993</v>
      </c>
      <c r="D45" s="1"/>
      <c r="E45" s="1"/>
      <c r="F45" s="6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</row>
    <row r="46" spans="1:1024" ht="18.75" x14ac:dyDescent="0.3">
      <c r="A46" s="66" t="s">
        <v>100</v>
      </c>
      <c r="B46" s="67"/>
      <c r="C46" s="68">
        <f>SUM(C38:C45)</f>
        <v>671605670.98500001</v>
      </c>
    </row>
    <row r="47" spans="1:1024" x14ac:dyDescent="0.25">
      <c r="B47" s="48" t="s">
        <v>109</v>
      </c>
    </row>
    <row r="49" spans="1:1" x14ac:dyDescent="0.25">
      <c r="A49" s="1" t="s">
        <v>294</v>
      </c>
    </row>
  </sheetData>
  <mergeCells count="12">
    <mergeCell ref="D16:D19"/>
    <mergeCell ref="E16:E19"/>
    <mergeCell ref="D20:D22"/>
    <mergeCell ref="E20:E22"/>
    <mergeCell ref="A36:C36"/>
    <mergeCell ref="A35:C35"/>
    <mergeCell ref="C20:C21"/>
    <mergeCell ref="B1:C1"/>
    <mergeCell ref="A5:C5"/>
    <mergeCell ref="A6:C6"/>
    <mergeCell ref="A9:C9"/>
    <mergeCell ref="A10:C10"/>
  </mergeCells>
  <pageMargins left="0.75984251968503913" right="0.70000000000000007" top="0.85354330708661408" bottom="0.74370078740157508" header="0.45984251968503903" footer="0.35000000000000003"/>
  <pageSetup paperSize="9" scale="5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81"/>
  <sheetViews>
    <sheetView topLeftCell="A61" workbookViewId="0">
      <selection activeCell="A30" sqref="A30:N30"/>
    </sheetView>
  </sheetViews>
  <sheetFormatPr defaultRowHeight="15" x14ac:dyDescent="0.25"/>
  <cols>
    <col min="1" max="1" width="26.875" style="1" customWidth="1"/>
    <col min="2" max="2" width="13" style="1" customWidth="1"/>
    <col min="3" max="3" width="13.25" style="1" customWidth="1"/>
    <col min="4" max="4" width="13.125" style="1" customWidth="1"/>
    <col min="5" max="5" width="13" style="1" customWidth="1"/>
    <col min="6" max="6" width="12.875" style="1" customWidth="1"/>
    <col min="7" max="7" width="13.5" style="1" customWidth="1"/>
    <col min="8" max="8" width="12.75" style="1" customWidth="1"/>
    <col min="9" max="9" width="13.375" style="1" customWidth="1"/>
    <col min="10" max="10" width="14.375" style="1" customWidth="1"/>
    <col min="11" max="11" width="14.75" style="1" customWidth="1"/>
    <col min="12" max="12" width="14.25" style="1" customWidth="1"/>
    <col min="13" max="14" width="16.5" style="1" customWidth="1"/>
    <col min="15" max="15" width="11.25" style="194" customWidth="1"/>
    <col min="16" max="16" width="12.25" style="194" customWidth="1"/>
    <col min="17" max="17" width="8.75" style="194" customWidth="1"/>
    <col min="18" max="1024" width="8.75" style="1" customWidth="1"/>
    <col min="1025" max="1025" width="9" customWidth="1"/>
  </cols>
  <sheetData>
    <row r="1" spans="1:16" x14ac:dyDescent="0.25">
      <c r="B1" s="246"/>
      <c r="C1" s="246"/>
      <c r="M1" s="237" t="s">
        <v>194</v>
      </c>
      <c r="N1" s="237"/>
    </row>
    <row r="2" spans="1:16" x14ac:dyDescent="0.25">
      <c r="B2" s="2"/>
    </row>
    <row r="3" spans="1:16" x14ac:dyDescent="0.25">
      <c r="B3" s="2"/>
    </row>
    <row r="4" spans="1:16" x14ac:dyDescent="0.25">
      <c r="B4" s="2"/>
    </row>
    <row r="5" spans="1:16" x14ac:dyDescent="0.25">
      <c r="A5" s="237" t="s">
        <v>1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</row>
    <row r="6" spans="1:16" x14ac:dyDescent="0.25">
      <c r="A6" s="237" t="s">
        <v>289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8" spans="1:16" x14ac:dyDescent="0.25">
      <c r="A8" s="237" t="s">
        <v>110</v>
      </c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</row>
    <row r="9" spans="1:16" x14ac:dyDescent="0.25">
      <c r="A9" s="237" t="s">
        <v>337</v>
      </c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</row>
    <row r="11" spans="1:16" x14ac:dyDescent="0.25">
      <c r="A11" s="2" t="s">
        <v>111</v>
      </c>
      <c r="B11" s="2" t="s">
        <v>112</v>
      </c>
      <c r="C11" s="2" t="s">
        <v>113</v>
      </c>
      <c r="D11" s="2" t="s">
        <v>114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120</v>
      </c>
      <c r="K11" s="2" t="s">
        <v>121</v>
      </c>
      <c r="L11" s="2" t="s">
        <v>122</v>
      </c>
      <c r="M11" s="2" t="s">
        <v>123</v>
      </c>
      <c r="N11" s="2" t="s">
        <v>124</v>
      </c>
    </row>
    <row r="12" spans="1:16" x14ac:dyDescent="0.25">
      <c r="A12" s="2" t="s">
        <v>125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  <row r="13" spans="1:16" ht="15.75" x14ac:dyDescent="0.25">
      <c r="A13" s="70" t="s">
        <v>126</v>
      </c>
      <c r="B13" s="50">
        <f>23186*4+38200+40000*3</f>
        <v>250944</v>
      </c>
      <c r="C13" s="50">
        <f>23186*4+38200+40000*3+250000</f>
        <v>500944</v>
      </c>
      <c r="D13" s="50">
        <f>40000*3</f>
        <v>120000</v>
      </c>
      <c r="E13" s="50">
        <f t="shared" ref="E13:G13" si="0">40000*3</f>
        <v>120000</v>
      </c>
      <c r="F13" s="50">
        <f t="shared" si="0"/>
        <v>120000</v>
      </c>
      <c r="G13" s="50">
        <f t="shared" si="0"/>
        <v>120000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250000</v>
      </c>
      <c r="N13" s="71">
        <f>'2D'!C12</f>
        <v>1481888</v>
      </c>
      <c r="O13" s="194">
        <f t="shared" ref="O13:O17" si="1">SUM(B13:M13)</f>
        <v>1481888</v>
      </c>
      <c r="P13" s="194">
        <f>O13-N13</f>
        <v>0</v>
      </c>
    </row>
    <row r="14" spans="1:16" ht="15.75" x14ac:dyDescent="0.25">
      <c r="A14" s="70" t="s">
        <v>78</v>
      </c>
      <c r="B14" s="50">
        <f>B13*0.9*0.195</f>
        <v>44040.672000000006</v>
      </c>
      <c r="C14" s="50">
        <f>57331+101775</f>
        <v>159106</v>
      </c>
      <c r="D14" s="50">
        <f t="shared" ref="D14:G14" si="2">D13*0.9*0.195</f>
        <v>21060</v>
      </c>
      <c r="E14" s="50">
        <f t="shared" si="2"/>
        <v>21060</v>
      </c>
      <c r="F14" s="50">
        <f t="shared" si="2"/>
        <v>21060</v>
      </c>
      <c r="G14" s="50">
        <f t="shared" si="2"/>
        <v>21060</v>
      </c>
      <c r="H14" s="50">
        <v>51028</v>
      </c>
      <c r="I14" s="50">
        <v>0</v>
      </c>
      <c r="J14" s="50">
        <v>0</v>
      </c>
      <c r="K14" s="50">
        <v>0</v>
      </c>
      <c r="L14" s="50">
        <v>0</v>
      </c>
      <c r="M14" s="50">
        <f>SUM(M13*1.18*0.195+M13*1.18*0.15)</f>
        <v>101775</v>
      </c>
      <c r="N14" s="71">
        <f>'2D'!C13</f>
        <v>440189.84400000004</v>
      </c>
      <c r="O14" s="194">
        <f t="shared" si="1"/>
        <v>440189.67200000002</v>
      </c>
      <c r="P14" s="194">
        <f>O14-N14</f>
        <v>-0.1720000000204891</v>
      </c>
    </row>
    <row r="15" spans="1:16" ht="15.75" x14ac:dyDescent="0.25">
      <c r="A15" s="70" t="s">
        <v>79</v>
      </c>
      <c r="B15" s="50">
        <v>143296</v>
      </c>
      <c r="C15" s="50">
        <f>143296+79032</f>
        <v>222328</v>
      </c>
      <c r="D15" s="50">
        <v>143296</v>
      </c>
      <c r="E15" s="50">
        <v>143296</v>
      </c>
      <c r="F15" s="50">
        <v>143296</v>
      </c>
      <c r="G15" s="50">
        <v>665000</v>
      </c>
      <c r="H15" s="50">
        <v>143296</v>
      </c>
      <c r="I15" s="50">
        <v>143296</v>
      </c>
      <c r="J15" s="50">
        <v>665000</v>
      </c>
      <c r="K15" s="50">
        <v>143296</v>
      </c>
      <c r="L15" s="50">
        <v>143296</v>
      </c>
      <c r="M15" s="50">
        <v>1880682</v>
      </c>
      <c r="N15" s="71">
        <f>'2D'!C14</f>
        <v>4579378.01</v>
      </c>
      <c r="O15" s="194">
        <f t="shared" si="1"/>
        <v>4579378</v>
      </c>
      <c r="P15" s="194">
        <f>N15-O15</f>
        <v>9.9999997764825821E-3</v>
      </c>
    </row>
    <row r="16" spans="1:16" ht="15.75" x14ac:dyDescent="0.25">
      <c r="A16" s="70" t="s">
        <v>127</v>
      </c>
      <c r="B16" s="50">
        <v>0</v>
      </c>
      <c r="C16" s="50">
        <v>0</v>
      </c>
      <c r="D16" s="50">
        <v>0</v>
      </c>
      <c r="E16" s="50">
        <v>1800000</v>
      </c>
      <c r="F16" s="50">
        <f>900000+2184000-2184000</f>
        <v>900000</v>
      </c>
      <c r="G16" s="50">
        <v>1840000</v>
      </c>
      <c r="H16" s="50">
        <v>0</v>
      </c>
      <c r="I16" s="50">
        <v>0</v>
      </c>
      <c r="J16" s="50">
        <v>0</v>
      </c>
      <c r="K16" s="50">
        <v>1800000</v>
      </c>
      <c r="L16" s="50">
        <v>0</v>
      </c>
      <c r="M16" s="50">
        <v>0</v>
      </c>
      <c r="N16" s="71">
        <f>'2D'!C15</f>
        <v>6340000</v>
      </c>
      <c r="O16" s="194">
        <f t="shared" si="1"/>
        <v>6340000</v>
      </c>
      <c r="P16" s="194">
        <f>N16-O16</f>
        <v>0</v>
      </c>
    </row>
    <row r="17" spans="1:1024" ht="15.75" x14ac:dyDescent="0.25">
      <c r="A17" s="70" t="s">
        <v>128</v>
      </c>
      <c r="B17" s="50">
        <f>6378000+23621755+5317327+2033949+6883462</f>
        <v>44234493</v>
      </c>
      <c r="C17" s="50">
        <f>1498600+3478068+43000000</f>
        <v>47976668</v>
      </c>
      <c r="D17" s="50">
        <v>43697000</v>
      </c>
      <c r="E17" s="50">
        <v>43697000</v>
      </c>
      <c r="F17" s="50">
        <v>25000000</v>
      </c>
      <c r="G17" s="50">
        <f>25000000-15000000</f>
        <v>10000000</v>
      </c>
      <c r="H17" s="50">
        <f>13000000-4292365</f>
        <v>8707635</v>
      </c>
      <c r="I17" s="50">
        <v>0</v>
      </c>
      <c r="J17" s="50">
        <f>11000+15000000+2000000+17588558+4292365</f>
        <v>38891923</v>
      </c>
      <c r="K17" s="50">
        <v>0</v>
      </c>
      <c r="L17" s="50">
        <v>0</v>
      </c>
      <c r="M17" s="50">
        <v>0</v>
      </c>
      <c r="N17" s="71">
        <f>'2D'!C17</f>
        <v>262204719</v>
      </c>
      <c r="O17" s="194">
        <f t="shared" si="1"/>
        <v>262204719</v>
      </c>
      <c r="P17" s="194">
        <f>N17-O17</f>
        <v>0</v>
      </c>
    </row>
    <row r="18" spans="1:1024" ht="15.75" x14ac:dyDescent="0.25">
      <c r="A18" s="70" t="s">
        <v>81</v>
      </c>
      <c r="B18" s="50">
        <f>31852092-4292365-4292365</f>
        <v>23267362</v>
      </c>
      <c r="C18" s="50">
        <v>0</v>
      </c>
      <c r="D18" s="50">
        <v>0</v>
      </c>
      <c r="E18" s="50">
        <f>4292365-1420871</f>
        <v>2871494</v>
      </c>
      <c r="F18" s="50">
        <v>2184000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71">
        <f>'2D'!C20</f>
        <v>28322856.984999999</v>
      </c>
      <c r="O18" s="194">
        <f>SUM(B18:M18)</f>
        <v>28322856</v>
      </c>
      <c r="P18" s="194">
        <f>N18-O18</f>
        <v>0.98499999940395355</v>
      </c>
    </row>
    <row r="19" spans="1:1024" ht="15.75" x14ac:dyDescent="0.25">
      <c r="A19" s="72" t="s">
        <v>129</v>
      </c>
      <c r="B19" s="73">
        <f t="shared" ref="B19:M19" si="3">SUM(B13:B18)</f>
        <v>67940135.671999991</v>
      </c>
      <c r="C19" s="73">
        <f t="shared" si="3"/>
        <v>48859046</v>
      </c>
      <c r="D19" s="73">
        <f t="shared" si="3"/>
        <v>43981356</v>
      </c>
      <c r="E19" s="73">
        <f t="shared" si="3"/>
        <v>48652850</v>
      </c>
      <c r="F19" s="73">
        <f t="shared" si="3"/>
        <v>28368356</v>
      </c>
      <c r="G19" s="73">
        <f t="shared" si="3"/>
        <v>12646060</v>
      </c>
      <c r="H19" s="73">
        <f t="shared" si="3"/>
        <v>8901959</v>
      </c>
      <c r="I19" s="73">
        <f t="shared" si="3"/>
        <v>143296</v>
      </c>
      <c r="J19" s="73">
        <f t="shared" si="3"/>
        <v>39556923</v>
      </c>
      <c r="K19" s="73">
        <f t="shared" si="3"/>
        <v>1943296</v>
      </c>
      <c r="L19" s="73">
        <f t="shared" si="3"/>
        <v>143296</v>
      </c>
      <c r="M19" s="73">
        <f t="shared" si="3"/>
        <v>2232457</v>
      </c>
      <c r="N19" s="73">
        <f>SUM(N13:N18)</f>
        <v>303369031.83899999</v>
      </c>
      <c r="O19" s="235"/>
    </row>
    <row r="21" spans="1:1024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116</v>
      </c>
      <c r="G21" s="2" t="s">
        <v>117</v>
      </c>
      <c r="H21" s="2" t="s">
        <v>118</v>
      </c>
      <c r="I21" s="2" t="s">
        <v>119</v>
      </c>
      <c r="J21" s="2" t="s">
        <v>120</v>
      </c>
      <c r="K21" s="2" t="s">
        <v>121</v>
      </c>
      <c r="L21" s="2" t="s">
        <v>122</v>
      </c>
      <c r="M21" s="2" t="s">
        <v>123</v>
      </c>
      <c r="N21" s="2" t="s">
        <v>124</v>
      </c>
    </row>
    <row r="22" spans="1:1024" x14ac:dyDescent="0.25">
      <c r="A22" s="2" t="s">
        <v>130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024" ht="15.75" x14ac:dyDescent="0.25">
      <c r="A23" s="70" t="s">
        <v>195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71">
        <f>'2D'!C24</f>
        <v>0</v>
      </c>
    </row>
    <row r="24" spans="1:1024" ht="15.75" x14ac:dyDescent="0.25">
      <c r="A24" s="70" t="s">
        <v>60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71">
        <v>0</v>
      </c>
    </row>
    <row r="25" spans="1:1024" ht="15.75" x14ac:dyDescent="0.25">
      <c r="A25" s="70" t="s">
        <v>131</v>
      </c>
      <c r="B25" s="50">
        <v>0</v>
      </c>
      <c r="C25" s="50">
        <v>0</v>
      </c>
      <c r="D25" s="50">
        <f>15608600-5713235</f>
        <v>9895365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15608600</v>
      </c>
      <c r="K25" s="50">
        <v>0</v>
      </c>
      <c r="L25" s="50">
        <v>0</v>
      </c>
      <c r="M25" s="50">
        <v>0</v>
      </c>
      <c r="N25" s="71">
        <f>31217200-5713235</f>
        <v>25503965</v>
      </c>
      <c r="O25" s="194">
        <f>SUM(B25:M25)</f>
        <v>25503965</v>
      </c>
      <c r="P25" s="194">
        <f>O25-N25</f>
        <v>0</v>
      </c>
    </row>
    <row r="26" spans="1:1024" s="144" customFormat="1" ht="15.75" x14ac:dyDescent="0.25">
      <c r="A26" s="70" t="s">
        <v>203</v>
      </c>
      <c r="B26" s="50">
        <v>0</v>
      </c>
      <c r="C26" s="50">
        <v>994720</v>
      </c>
      <c r="D26" s="50"/>
      <c r="E26" s="50">
        <v>1768001</v>
      </c>
      <c r="F26" s="50">
        <v>0</v>
      </c>
      <c r="G26" s="50">
        <v>0</v>
      </c>
      <c r="H26" s="50">
        <v>0</v>
      </c>
      <c r="I26" s="50">
        <v>0</v>
      </c>
      <c r="J26" s="50">
        <v>28033099</v>
      </c>
      <c r="K26" s="50">
        <v>0</v>
      </c>
      <c r="L26" s="50">
        <v>0</v>
      </c>
      <c r="M26" s="50">
        <v>0</v>
      </c>
      <c r="N26" s="71">
        <f>'2D'!C26</f>
        <v>30795820</v>
      </c>
      <c r="O26" s="194">
        <f>SUM(B26:M26)</f>
        <v>30795820</v>
      </c>
      <c r="P26" s="194">
        <f>O26-N26</f>
        <v>0</v>
      </c>
      <c r="Q26" s="194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ht="15.75" x14ac:dyDescent="0.25">
      <c r="A27" s="70" t="s">
        <v>189</v>
      </c>
      <c r="B27" s="50">
        <v>67940136</v>
      </c>
      <c r="C27" s="50">
        <v>47864326</v>
      </c>
      <c r="D27" s="50">
        <f>28372756+5713235</f>
        <v>34085991</v>
      </c>
      <c r="E27" s="50">
        <f>48305720-1420871</f>
        <v>46884849</v>
      </c>
      <c r="F27" s="50">
        <f>28368355+1</f>
        <v>28368356</v>
      </c>
      <c r="G27" s="50">
        <v>12646061</v>
      </c>
      <c r="H27" s="50">
        <f>13194324-4292365</f>
        <v>8901959</v>
      </c>
      <c r="I27" s="50">
        <v>143296</v>
      </c>
      <c r="J27" s="50">
        <v>0</v>
      </c>
      <c r="K27" s="50">
        <v>0</v>
      </c>
      <c r="L27" s="50">
        <v>0</v>
      </c>
      <c r="M27" s="50">
        <v>234273</v>
      </c>
      <c r="N27" s="71">
        <f>'2D'!C33</f>
        <v>247069247</v>
      </c>
      <c r="O27" s="194">
        <f>SUM(B27:M27)</f>
        <v>247069247</v>
      </c>
      <c r="P27" s="194">
        <f>O27-N27</f>
        <v>0</v>
      </c>
    </row>
    <row r="28" spans="1:1024" ht="15.75" x14ac:dyDescent="0.25">
      <c r="A28" s="72" t="s">
        <v>132</v>
      </c>
      <c r="B28" s="73">
        <f>SUM(B23:B27)</f>
        <v>67940136</v>
      </c>
      <c r="C28" s="73">
        <f t="shared" ref="C28:M28" si="4">SUM(C23:C27)</f>
        <v>48859046</v>
      </c>
      <c r="D28" s="73">
        <f t="shared" si="4"/>
        <v>43981356</v>
      </c>
      <c r="E28" s="73">
        <f t="shared" si="4"/>
        <v>48652850</v>
      </c>
      <c r="F28" s="73">
        <f t="shared" si="4"/>
        <v>28368356</v>
      </c>
      <c r="G28" s="73">
        <f t="shared" si="4"/>
        <v>12646061</v>
      </c>
      <c r="H28" s="73">
        <f t="shared" si="4"/>
        <v>8901959</v>
      </c>
      <c r="I28" s="73">
        <f t="shared" si="4"/>
        <v>143296</v>
      </c>
      <c r="J28" s="73">
        <f>SUM(J23:J27)</f>
        <v>43641699</v>
      </c>
      <c r="K28" s="73">
        <f t="shared" si="4"/>
        <v>0</v>
      </c>
      <c r="L28" s="73">
        <f t="shared" si="4"/>
        <v>0</v>
      </c>
      <c r="M28" s="73">
        <f t="shared" si="4"/>
        <v>234273</v>
      </c>
      <c r="N28" s="73">
        <f>SUM(N23:N27)</f>
        <v>303369032</v>
      </c>
    </row>
    <row r="29" spans="1:1024" s="139" customFormat="1" x14ac:dyDescent="0.25">
      <c r="A29" s="1" t="s">
        <v>336</v>
      </c>
      <c r="B29" s="185">
        <f>B28-B19</f>
        <v>0.32800000905990601</v>
      </c>
      <c r="C29" s="185">
        <f>B29+C28-C19</f>
        <v>0.32800000905990601</v>
      </c>
      <c r="D29" s="185">
        <f t="shared" ref="D29:L29" si="5">C29+D28-D19</f>
        <v>0.32800000905990601</v>
      </c>
      <c r="E29" s="185">
        <f t="shared" si="5"/>
        <v>0.32800000905990601</v>
      </c>
      <c r="F29" s="185">
        <f t="shared" si="5"/>
        <v>0.32800000905990601</v>
      </c>
      <c r="G29" s="185">
        <f t="shared" si="5"/>
        <v>1.328000009059906</v>
      </c>
      <c r="H29" s="185">
        <f t="shared" si="5"/>
        <v>1.328000009059906</v>
      </c>
      <c r="I29" s="185">
        <f t="shared" si="5"/>
        <v>1.328000009059906</v>
      </c>
      <c r="J29" s="185">
        <f t="shared" si="5"/>
        <v>4084777.3280000091</v>
      </c>
      <c r="K29" s="185">
        <f t="shared" si="5"/>
        <v>2141481.3280000091</v>
      </c>
      <c r="L29" s="185">
        <f t="shared" si="5"/>
        <v>1998185.3280000091</v>
      </c>
      <c r="M29" s="185">
        <f>L29+M28-M19-1</f>
        <v>0.32800000905990601</v>
      </c>
      <c r="N29" s="1"/>
      <c r="O29" s="194"/>
      <c r="P29" s="194"/>
      <c r="Q29" s="194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x14ac:dyDescent="0.25">
      <c r="A30" s="237" t="s">
        <v>101</v>
      </c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</row>
    <row r="32" spans="1:1024" x14ac:dyDescent="0.25">
      <c r="A32" s="237" t="s">
        <v>1</v>
      </c>
      <c r="B32" s="237"/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</row>
    <row r="33" spans="1:17" x14ac:dyDescent="0.25">
      <c r="A33" s="237" t="s">
        <v>289</v>
      </c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  <c r="N33" s="237"/>
    </row>
    <row r="35" spans="1:17" x14ac:dyDescent="0.25">
      <c r="A35" s="237" t="s">
        <v>201</v>
      </c>
      <c r="B35" s="237"/>
      <c r="C35" s="237"/>
      <c r="D35" s="237"/>
      <c r="E35" s="237"/>
      <c r="F35" s="237"/>
      <c r="G35" s="237"/>
      <c r="H35" s="237"/>
      <c r="I35" s="237"/>
      <c r="J35" s="237"/>
      <c r="K35" s="237"/>
      <c r="L35" s="237"/>
      <c r="M35" s="237"/>
      <c r="N35" s="237"/>
    </row>
    <row r="36" spans="1:17" x14ac:dyDescent="0.25">
      <c r="A36" s="237" t="s">
        <v>338</v>
      </c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37"/>
      <c r="N36" s="237"/>
    </row>
    <row r="38" spans="1:17" x14ac:dyDescent="0.25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115</v>
      </c>
      <c r="F38" s="2" t="s">
        <v>116</v>
      </c>
      <c r="G38" s="2" t="s">
        <v>117</v>
      </c>
      <c r="H38" s="2" t="s">
        <v>118</v>
      </c>
      <c r="I38" s="2" t="s">
        <v>119</v>
      </c>
      <c r="J38" s="2" t="s">
        <v>120</v>
      </c>
      <c r="K38" s="2" t="s">
        <v>121</v>
      </c>
      <c r="L38" s="2" t="s">
        <v>122</v>
      </c>
      <c r="M38" s="2" t="s">
        <v>123</v>
      </c>
      <c r="N38" s="2" t="s">
        <v>124</v>
      </c>
    </row>
    <row r="39" spans="1:17" x14ac:dyDescent="0.25">
      <c r="A39" s="2" t="s">
        <v>125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7" ht="15.75" x14ac:dyDescent="0.25">
      <c r="A40" s="70" t="s">
        <v>126</v>
      </c>
      <c r="B40" s="50">
        <v>16344538</v>
      </c>
      <c r="C40" s="50">
        <v>16344538</v>
      </c>
      <c r="D40" s="50">
        <v>16344538</v>
      </c>
      <c r="E40" s="50">
        <v>16344538</v>
      </c>
      <c r="F40" s="50">
        <v>16344538</v>
      </c>
      <c r="G40" s="50">
        <f>16344538+8107272</f>
        <v>24451810</v>
      </c>
      <c r="H40" s="50">
        <v>16344538</v>
      </c>
      <c r="I40" s="50">
        <v>16344538</v>
      </c>
      <c r="J40" s="50">
        <v>16344538</v>
      </c>
      <c r="K40" s="50">
        <v>16344538</v>
      </c>
      <c r="L40" s="50">
        <f>16344538+8107272</f>
        <v>24451810</v>
      </c>
      <c r="M40" s="50">
        <v>16344538</v>
      </c>
      <c r="N40" s="71">
        <f>'2C'!C12</f>
        <v>212349000</v>
      </c>
      <c r="O40" s="194">
        <f>SUM(B40:M40)</f>
        <v>212349000</v>
      </c>
      <c r="P40" s="194">
        <f>N40-O40</f>
        <v>0</v>
      </c>
      <c r="Q40" s="194">
        <f>P40/2</f>
        <v>0</v>
      </c>
    </row>
    <row r="41" spans="1:17" ht="15.75" x14ac:dyDescent="0.25">
      <c r="A41" s="70" t="s">
        <v>78</v>
      </c>
      <c r="B41" s="50">
        <v>3436600</v>
      </c>
      <c r="C41" s="50">
        <v>3436600</v>
      </c>
      <c r="D41" s="50">
        <v>3436600</v>
      </c>
      <c r="E41" s="50">
        <v>3436600</v>
      </c>
      <c r="F41" s="50">
        <v>3436600</v>
      </c>
      <c r="G41" s="50">
        <f>3436600+1718900</f>
        <v>5155500</v>
      </c>
      <c r="H41" s="50">
        <v>3436600</v>
      </c>
      <c r="I41" s="50">
        <v>3436600</v>
      </c>
      <c r="J41" s="50">
        <v>3436600</v>
      </c>
      <c r="K41" s="50">
        <v>3436600</v>
      </c>
      <c r="L41" s="50">
        <f>3436600+1718900</f>
        <v>5155500</v>
      </c>
      <c r="M41" s="50">
        <v>3436600</v>
      </c>
      <c r="N41" s="71">
        <f>'2C'!C13</f>
        <v>44677000</v>
      </c>
      <c r="O41" s="194">
        <f t="shared" ref="O41" si="6">SUM(B41:M41)</f>
        <v>44677000</v>
      </c>
      <c r="P41" s="194">
        <f t="shared" ref="P41:P42" si="7">N41-O41</f>
        <v>0</v>
      </c>
    </row>
    <row r="42" spans="1:17" ht="15.75" x14ac:dyDescent="0.25">
      <c r="A42" s="70" t="s">
        <v>79</v>
      </c>
      <c r="B42" s="50">
        <v>2220000</v>
      </c>
      <c r="C42" s="50">
        <v>3250000</v>
      </c>
      <c r="D42" s="50">
        <v>3000000</v>
      </c>
      <c r="E42" s="50">
        <v>3000000</v>
      </c>
      <c r="F42" s="50">
        <v>3000000</v>
      </c>
      <c r="G42" s="50">
        <v>3000000</v>
      </c>
      <c r="H42" s="50">
        <v>3000000</v>
      </c>
      <c r="I42" s="50">
        <v>3000000</v>
      </c>
      <c r="J42" s="50">
        <v>3000000</v>
      </c>
      <c r="K42" s="50">
        <v>3000000</v>
      </c>
      <c r="L42" s="50">
        <v>3000000</v>
      </c>
      <c r="M42" s="50">
        <v>3500593</v>
      </c>
      <c r="N42" s="71">
        <f>'2C'!C14</f>
        <v>35970593</v>
      </c>
      <c r="O42" s="194">
        <f>SUM(B42:M42)</f>
        <v>35970593</v>
      </c>
      <c r="P42" s="194">
        <f t="shared" si="7"/>
        <v>0</v>
      </c>
    </row>
    <row r="43" spans="1:17" ht="15.75" x14ac:dyDescent="0.25">
      <c r="A43" s="70" t="s">
        <v>127</v>
      </c>
      <c r="B43" s="50">
        <v>37500</v>
      </c>
      <c r="C43" s="50">
        <v>37500</v>
      </c>
      <c r="D43" s="50">
        <v>37500</v>
      </c>
      <c r="E43" s="50">
        <v>37500</v>
      </c>
      <c r="F43" s="50">
        <v>37500</v>
      </c>
      <c r="G43" s="50">
        <v>37500</v>
      </c>
      <c r="H43" s="50">
        <v>37500</v>
      </c>
      <c r="I43" s="50">
        <v>37500</v>
      </c>
      <c r="J43" s="50">
        <v>37500</v>
      </c>
      <c r="K43" s="50">
        <v>37500</v>
      </c>
      <c r="L43" s="50">
        <v>37500</v>
      </c>
      <c r="M43" s="50">
        <v>37500</v>
      </c>
      <c r="N43" s="71">
        <f>'2C'!C15</f>
        <v>450000</v>
      </c>
      <c r="O43" s="194">
        <f>SUM(B43:M43)</f>
        <v>450000</v>
      </c>
      <c r="P43" s="194">
        <f t="shared" ref="P43" si="8">N43-O43</f>
        <v>0</v>
      </c>
    </row>
    <row r="44" spans="1:17" ht="15.75" x14ac:dyDescent="0.25">
      <c r="A44" s="70" t="s">
        <v>128</v>
      </c>
      <c r="B44" s="50">
        <v>0</v>
      </c>
      <c r="C44" s="50">
        <v>5713235</v>
      </c>
      <c r="D44" s="50">
        <v>500000</v>
      </c>
      <c r="E44" s="50">
        <v>565911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71">
        <f>'2C'!C16</f>
        <v>6779146</v>
      </c>
      <c r="O44" s="194">
        <f>SUM(B44:M44)</f>
        <v>6779146</v>
      </c>
      <c r="P44" s="194">
        <f t="shared" ref="P44" si="9">N44-O44</f>
        <v>0</v>
      </c>
    </row>
    <row r="45" spans="1:17" ht="15.75" x14ac:dyDescent="0.25">
      <c r="A45" s="72" t="s">
        <v>129</v>
      </c>
      <c r="B45" s="73">
        <f t="shared" ref="B45:N45" si="10">SUM(B40:B44)</f>
        <v>22038638</v>
      </c>
      <c r="C45" s="73">
        <f t="shared" si="10"/>
        <v>28781873</v>
      </c>
      <c r="D45" s="73">
        <f t="shared" si="10"/>
        <v>23318638</v>
      </c>
      <c r="E45" s="73">
        <f t="shared" si="10"/>
        <v>23384549</v>
      </c>
      <c r="F45" s="73">
        <f t="shared" si="10"/>
        <v>22818638</v>
      </c>
      <c r="G45" s="73">
        <f t="shared" si="10"/>
        <v>32644810</v>
      </c>
      <c r="H45" s="73">
        <f t="shared" si="10"/>
        <v>22818638</v>
      </c>
      <c r="I45" s="73">
        <f t="shared" si="10"/>
        <v>22818638</v>
      </c>
      <c r="J45" s="73">
        <f t="shared" si="10"/>
        <v>22818638</v>
      </c>
      <c r="K45" s="73">
        <f t="shared" si="10"/>
        <v>22818638</v>
      </c>
      <c r="L45" s="73">
        <f t="shared" si="10"/>
        <v>32644810</v>
      </c>
      <c r="M45" s="73">
        <f t="shared" si="10"/>
        <v>23319231</v>
      </c>
      <c r="N45" s="73">
        <f t="shared" si="10"/>
        <v>300225739</v>
      </c>
    </row>
    <row r="47" spans="1:17" x14ac:dyDescent="0.25">
      <c r="A47" s="2" t="s">
        <v>111</v>
      </c>
      <c r="B47" s="2" t="s">
        <v>112</v>
      </c>
      <c r="C47" s="2" t="s">
        <v>113</v>
      </c>
      <c r="D47" s="2" t="s">
        <v>114</v>
      </c>
      <c r="E47" s="2" t="s">
        <v>115</v>
      </c>
      <c r="F47" s="2" t="s">
        <v>116</v>
      </c>
      <c r="G47" s="2" t="s">
        <v>117</v>
      </c>
      <c r="H47" s="2" t="s">
        <v>118</v>
      </c>
      <c r="I47" s="2" t="s">
        <v>119</v>
      </c>
      <c r="J47" s="2" t="s">
        <v>120</v>
      </c>
      <c r="K47" s="2" t="s">
        <v>121</v>
      </c>
      <c r="L47" s="2" t="s">
        <v>122</v>
      </c>
      <c r="M47" s="2" t="s">
        <v>123</v>
      </c>
      <c r="N47" s="2" t="s">
        <v>124</v>
      </c>
    </row>
    <row r="48" spans="1:17" x14ac:dyDescent="0.25">
      <c r="A48" s="2" t="s">
        <v>130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</row>
    <row r="49" spans="1:16" ht="15.75" x14ac:dyDescent="0.25">
      <c r="A49" s="70" t="s">
        <v>195</v>
      </c>
      <c r="B49" s="50">
        <v>100000</v>
      </c>
      <c r="C49" s="50">
        <v>100000</v>
      </c>
      <c r="D49" s="50">
        <v>100000</v>
      </c>
      <c r="E49" s="50">
        <v>100000</v>
      </c>
      <c r="F49" s="50">
        <v>100000</v>
      </c>
      <c r="G49" s="50">
        <v>350000</v>
      </c>
      <c r="H49" s="50">
        <v>600000</v>
      </c>
      <c r="I49" s="50">
        <v>350000</v>
      </c>
      <c r="J49" s="50">
        <v>100000</v>
      </c>
      <c r="K49" s="50">
        <v>150000</v>
      </c>
      <c r="L49" s="50">
        <v>150000</v>
      </c>
      <c r="M49" s="50">
        <v>100000</v>
      </c>
      <c r="N49" s="71">
        <f>'2C'!C22</f>
        <v>2300000</v>
      </c>
      <c r="O49" s="194">
        <f>SUM(B49:M49)</f>
        <v>2300000</v>
      </c>
      <c r="P49" s="194">
        <f t="shared" ref="P49" si="11">N49-O49</f>
        <v>0</v>
      </c>
    </row>
    <row r="50" spans="1:16" ht="15.75" x14ac:dyDescent="0.25">
      <c r="A50" s="70" t="s">
        <v>60</v>
      </c>
      <c r="B50" s="50">
        <v>11599000</v>
      </c>
      <c r="C50" s="50">
        <v>11599000</v>
      </c>
      <c r="D50" s="50">
        <v>11599000</v>
      </c>
      <c r="E50" s="50">
        <v>11599000</v>
      </c>
      <c r="F50" s="50">
        <v>11599000</v>
      </c>
      <c r="G50" s="50">
        <v>11599000</v>
      </c>
      <c r="H50" s="50">
        <v>11599000</v>
      </c>
      <c r="I50" s="50">
        <v>11599000</v>
      </c>
      <c r="J50" s="50">
        <v>11599000</v>
      </c>
      <c r="K50" s="50">
        <v>11599000</v>
      </c>
      <c r="L50" s="50">
        <v>11599000</v>
      </c>
      <c r="M50" s="50">
        <f>11599000+6100</f>
        <v>11605100</v>
      </c>
      <c r="N50" s="71">
        <f>'4'!C14</f>
        <v>139194100</v>
      </c>
      <c r="O50" s="194">
        <f>SUM(B50:M50)</f>
        <v>139194100</v>
      </c>
      <c r="P50" s="194">
        <f t="shared" ref="P50" si="12">N50-O50</f>
        <v>0</v>
      </c>
    </row>
    <row r="51" spans="1:16" ht="15.75" x14ac:dyDescent="0.25">
      <c r="A51" s="70" t="s">
        <v>131</v>
      </c>
      <c r="B51" s="50">
        <v>10704000</v>
      </c>
      <c r="C51" s="50">
        <f>10704000+5713235</f>
        <v>16417235</v>
      </c>
      <c r="D51" s="50">
        <f>10704000+10079483</f>
        <v>20783483</v>
      </c>
      <c r="E51" s="50">
        <v>10704000</v>
      </c>
      <c r="F51" s="50">
        <v>10704000</v>
      </c>
      <c r="G51" s="50">
        <f>10704000+700000</f>
        <v>11404000</v>
      </c>
      <c r="H51" s="50">
        <v>10704000</v>
      </c>
      <c r="I51" s="50">
        <v>10704000</v>
      </c>
      <c r="J51" s="50">
        <f>10704000+10079483</f>
        <v>20783483</v>
      </c>
      <c r="K51" s="50">
        <v>10704000</v>
      </c>
      <c r="L51" s="50">
        <f>10704000+811438</f>
        <v>11515438</v>
      </c>
      <c r="M51" s="50">
        <v>10704000</v>
      </c>
      <c r="N51" s="71">
        <f>'4'!D14+'4'!E14+'4'!H14</f>
        <v>155831639.29176471</v>
      </c>
      <c r="O51" s="194">
        <f>SUM(B51:M51)</f>
        <v>155831639</v>
      </c>
      <c r="P51" s="194">
        <f t="shared" ref="P51" si="13">N51-O51</f>
        <v>0.29176470637321472</v>
      </c>
    </row>
    <row r="52" spans="1:16" ht="15.75" x14ac:dyDescent="0.25">
      <c r="A52" s="70" t="s">
        <v>189</v>
      </c>
      <c r="B52" s="50">
        <v>0</v>
      </c>
      <c r="C52" s="50">
        <v>301276</v>
      </c>
      <c r="D52" s="50">
        <v>0</v>
      </c>
      <c r="E52" s="50">
        <v>0</v>
      </c>
      <c r="F52" s="50">
        <v>0</v>
      </c>
      <c r="G52" s="50">
        <v>1525152</v>
      </c>
      <c r="H52" s="50">
        <v>0</v>
      </c>
      <c r="I52" s="50">
        <v>81276</v>
      </c>
      <c r="J52" s="50">
        <v>0</v>
      </c>
      <c r="K52" s="50">
        <v>0</v>
      </c>
      <c r="L52" s="50">
        <v>82165</v>
      </c>
      <c r="M52" s="50">
        <v>910131</v>
      </c>
      <c r="N52" s="71">
        <f>'4'!I14</f>
        <v>2900000</v>
      </c>
      <c r="O52" s="194">
        <f>SUM(B52:M52)</f>
        <v>2900000</v>
      </c>
      <c r="P52" s="194">
        <f t="shared" ref="P52" si="14">N52-O52</f>
        <v>0</v>
      </c>
    </row>
    <row r="53" spans="1:16" ht="15.75" x14ac:dyDescent="0.25">
      <c r="A53" s="72" t="s">
        <v>132</v>
      </c>
      <c r="B53" s="73">
        <f t="shared" ref="B53:M53" si="15">SUM(B49:B52)</f>
        <v>22403000</v>
      </c>
      <c r="C53" s="73">
        <f t="shared" si="15"/>
        <v>28417511</v>
      </c>
      <c r="D53" s="73">
        <f t="shared" si="15"/>
        <v>32482483</v>
      </c>
      <c r="E53" s="73">
        <f t="shared" si="15"/>
        <v>22403000</v>
      </c>
      <c r="F53" s="73">
        <f t="shared" si="15"/>
        <v>22403000</v>
      </c>
      <c r="G53" s="73">
        <f t="shared" si="15"/>
        <v>24878152</v>
      </c>
      <c r="H53" s="73">
        <f t="shared" si="15"/>
        <v>22903000</v>
      </c>
      <c r="I53" s="73">
        <f t="shared" si="15"/>
        <v>22734276</v>
      </c>
      <c r="J53" s="73">
        <f t="shared" si="15"/>
        <v>32482483</v>
      </c>
      <c r="K53" s="73">
        <f t="shared" si="15"/>
        <v>22453000</v>
      </c>
      <c r="L53" s="73">
        <f t="shared" si="15"/>
        <v>23346603</v>
      </c>
      <c r="M53" s="73">
        <f t="shared" si="15"/>
        <v>23319231</v>
      </c>
      <c r="N53" s="73">
        <f>SUM(N49:N52)</f>
        <v>300225739.29176474</v>
      </c>
    </row>
    <row r="54" spans="1:16" x14ac:dyDescent="0.25">
      <c r="A54" s="1" t="s">
        <v>336</v>
      </c>
      <c r="B54" s="185">
        <f>B53-B45</f>
        <v>364362</v>
      </c>
      <c r="C54" s="185">
        <f>B54+C53-C45</f>
        <v>0</v>
      </c>
      <c r="D54" s="185">
        <f t="shared" ref="D54:N54" si="16">C54+D53-D45</f>
        <v>9163845</v>
      </c>
      <c r="E54" s="185">
        <f t="shared" si="16"/>
        <v>8182296</v>
      </c>
      <c r="F54" s="185">
        <f t="shared" si="16"/>
        <v>7766658</v>
      </c>
      <c r="G54" s="185">
        <f t="shared" si="16"/>
        <v>0</v>
      </c>
      <c r="H54" s="185">
        <f t="shared" si="16"/>
        <v>84362</v>
      </c>
      <c r="I54" s="185">
        <f t="shared" si="16"/>
        <v>0</v>
      </c>
      <c r="J54" s="185">
        <f t="shared" si="16"/>
        <v>9663845</v>
      </c>
      <c r="K54" s="185">
        <f t="shared" si="16"/>
        <v>9298207</v>
      </c>
      <c r="L54" s="185">
        <f t="shared" si="16"/>
        <v>0</v>
      </c>
      <c r="M54" s="185">
        <f t="shared" si="16"/>
        <v>0</v>
      </c>
      <c r="N54" s="185">
        <f t="shared" si="16"/>
        <v>0.29176473617553711</v>
      </c>
    </row>
    <row r="56" spans="1:16" x14ac:dyDescent="0.25">
      <c r="A56" s="237" t="s">
        <v>1</v>
      </c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7"/>
    </row>
    <row r="57" spans="1:16" x14ac:dyDescent="0.25">
      <c r="A57" s="237" t="s">
        <v>289</v>
      </c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7"/>
    </row>
    <row r="59" spans="1:16" x14ac:dyDescent="0.25">
      <c r="A59" s="255" t="s">
        <v>133</v>
      </c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</row>
    <row r="60" spans="1:16" x14ac:dyDescent="0.25">
      <c r="A60" s="237" t="s">
        <v>337</v>
      </c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</row>
    <row r="62" spans="1:16" x14ac:dyDescent="0.25">
      <c r="A62" s="2" t="s">
        <v>111</v>
      </c>
      <c r="B62" s="2" t="s">
        <v>112</v>
      </c>
      <c r="C62" s="2" t="s">
        <v>113</v>
      </c>
      <c r="D62" s="2" t="s">
        <v>114</v>
      </c>
      <c r="E62" s="2" t="s">
        <v>115</v>
      </c>
      <c r="F62" s="2" t="s">
        <v>116</v>
      </c>
      <c r="G62" s="2" t="s">
        <v>117</v>
      </c>
      <c r="H62" s="2" t="s">
        <v>118</v>
      </c>
      <c r="I62" s="2" t="s">
        <v>119</v>
      </c>
      <c r="J62" s="2" t="s">
        <v>120</v>
      </c>
      <c r="K62" s="2" t="s">
        <v>121</v>
      </c>
      <c r="L62" s="2" t="s">
        <v>122</v>
      </c>
      <c r="M62" s="2" t="s">
        <v>123</v>
      </c>
      <c r="N62" s="2" t="s">
        <v>124</v>
      </c>
    </row>
    <row r="63" spans="1:16" x14ac:dyDescent="0.25">
      <c r="A63" s="2" t="s">
        <v>125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6" ht="15.75" x14ac:dyDescent="0.25">
      <c r="A64" s="70" t="s">
        <v>126</v>
      </c>
      <c r="B64" s="50">
        <v>37473000</v>
      </c>
      <c r="C64" s="50">
        <v>37473000</v>
      </c>
      <c r="D64" s="50">
        <v>37473000</v>
      </c>
      <c r="E64" s="50">
        <v>37473000</v>
      </c>
      <c r="F64" s="50">
        <v>37473000</v>
      </c>
      <c r="G64" s="50">
        <f>37473000+18737611</f>
        <v>56210611</v>
      </c>
      <c r="H64" s="50">
        <v>37473000</v>
      </c>
      <c r="I64" s="50">
        <v>37473000</v>
      </c>
      <c r="J64" s="50">
        <v>37473000</v>
      </c>
      <c r="K64" s="50">
        <v>37473000</v>
      </c>
      <c r="L64" s="50">
        <f>37473000+18737611</f>
        <v>56210611</v>
      </c>
      <c r="M64" s="50">
        <v>37473000</v>
      </c>
      <c r="N64" s="71">
        <f>'2B'!C12</f>
        <v>487151222</v>
      </c>
      <c r="O64" s="194">
        <f t="shared" ref="O64:O68" si="17">SUM(B64:M64)</f>
        <v>487151222</v>
      </c>
      <c r="P64" s="194">
        <f t="shared" ref="P64:P68" si="18">N64-O64</f>
        <v>0</v>
      </c>
    </row>
    <row r="65" spans="1:16" ht="15.75" x14ac:dyDescent="0.25">
      <c r="A65" s="70" t="s">
        <v>78</v>
      </c>
      <c r="B65" s="50">
        <v>8158000</v>
      </c>
      <c r="C65" s="50">
        <v>8158000</v>
      </c>
      <c r="D65" s="50">
        <v>8158000</v>
      </c>
      <c r="E65" s="50">
        <v>8158000</v>
      </c>
      <c r="F65" s="50">
        <v>8158000</v>
      </c>
      <c r="G65" s="50">
        <f>8158000+4081500</f>
        <v>12239500</v>
      </c>
      <c r="H65" s="50">
        <v>8158000</v>
      </c>
      <c r="I65" s="50">
        <v>8158000</v>
      </c>
      <c r="J65" s="50">
        <v>8158000</v>
      </c>
      <c r="K65" s="50">
        <v>8158000</v>
      </c>
      <c r="L65" s="50">
        <f>8158000+4081500</f>
        <v>12239500</v>
      </c>
      <c r="M65" s="50">
        <v>8158000</v>
      </c>
      <c r="N65" s="71">
        <f>'2B'!C13</f>
        <v>106059000</v>
      </c>
      <c r="O65" s="194">
        <f t="shared" si="17"/>
        <v>106059000</v>
      </c>
      <c r="P65" s="194">
        <f t="shared" si="18"/>
        <v>0</v>
      </c>
    </row>
    <row r="66" spans="1:16" ht="15.75" x14ac:dyDescent="0.25">
      <c r="A66" s="70" t="s">
        <v>79</v>
      </c>
      <c r="B66" s="50">
        <v>16105833</v>
      </c>
      <c r="C66" s="50">
        <v>18825000</v>
      </c>
      <c r="D66" s="50">
        <v>18825000</v>
      </c>
      <c r="E66" s="50">
        <v>18825000</v>
      </c>
      <c r="F66" s="50">
        <v>18825000</v>
      </c>
      <c r="G66" s="50">
        <v>18825000</v>
      </c>
      <c r="H66" s="50">
        <v>18825000</v>
      </c>
      <c r="I66" s="50">
        <v>18825000</v>
      </c>
      <c r="J66" s="50">
        <v>18825000</v>
      </c>
      <c r="K66" s="50">
        <v>18825000</v>
      </c>
      <c r="L66" s="50">
        <v>18825000</v>
      </c>
      <c r="M66" s="50">
        <f>18825000+2706329</f>
        <v>21531329</v>
      </c>
      <c r="N66" s="71">
        <f>'2B'!C14</f>
        <v>225887162</v>
      </c>
      <c r="O66" s="194">
        <f t="shared" si="17"/>
        <v>225887162</v>
      </c>
      <c r="P66" s="194">
        <f t="shared" si="18"/>
        <v>0</v>
      </c>
    </row>
    <row r="67" spans="1:16" ht="15.75" x14ac:dyDescent="0.25">
      <c r="A67" s="70" t="s">
        <v>127</v>
      </c>
      <c r="B67" s="50">
        <v>50000</v>
      </c>
      <c r="C67" s="50">
        <v>50000</v>
      </c>
      <c r="D67" s="50">
        <v>50000</v>
      </c>
      <c r="E67" s="50">
        <v>50000</v>
      </c>
      <c r="F67" s="50">
        <v>50000</v>
      </c>
      <c r="G67" s="50">
        <v>50000</v>
      </c>
      <c r="H67" s="50">
        <v>50000</v>
      </c>
      <c r="I67" s="50">
        <v>50000</v>
      </c>
      <c r="J67" s="50">
        <v>50000</v>
      </c>
      <c r="K67" s="50">
        <v>50000</v>
      </c>
      <c r="L67" s="50">
        <v>50000</v>
      </c>
      <c r="M67" s="50">
        <v>50000</v>
      </c>
      <c r="N67" s="71">
        <f>'2B'!C15</f>
        <v>600000</v>
      </c>
      <c r="O67" s="194">
        <f t="shared" si="17"/>
        <v>600000</v>
      </c>
      <c r="P67" s="194">
        <f t="shared" si="18"/>
        <v>0</v>
      </c>
    </row>
    <row r="68" spans="1:16" ht="15.75" x14ac:dyDescent="0.25">
      <c r="A68" s="70" t="s">
        <v>128</v>
      </c>
      <c r="B68" s="50">
        <v>0</v>
      </c>
      <c r="C68" s="50">
        <v>0</v>
      </c>
      <c r="D68" s="50">
        <v>2500000</v>
      </c>
      <c r="E68" s="50">
        <v>2500000</v>
      </c>
      <c r="F68" s="50">
        <v>3000000</v>
      </c>
      <c r="G68" s="50">
        <v>4008712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71">
        <f>'2B'!C16</f>
        <v>12008712</v>
      </c>
      <c r="O68" s="194">
        <f t="shared" si="17"/>
        <v>12008712</v>
      </c>
      <c r="P68" s="194">
        <f t="shared" si="18"/>
        <v>0</v>
      </c>
    </row>
    <row r="69" spans="1:16" ht="15.75" x14ac:dyDescent="0.25">
      <c r="A69" s="72" t="s">
        <v>129</v>
      </c>
      <c r="B69" s="73">
        <f t="shared" ref="B69:N69" si="19">SUM(B64:B68)</f>
        <v>61786833</v>
      </c>
      <c r="C69" s="73">
        <f t="shared" si="19"/>
        <v>64506000</v>
      </c>
      <c r="D69" s="73">
        <f t="shared" si="19"/>
        <v>67006000</v>
      </c>
      <c r="E69" s="73">
        <f t="shared" si="19"/>
        <v>67006000</v>
      </c>
      <c r="F69" s="73">
        <f t="shared" si="19"/>
        <v>67506000</v>
      </c>
      <c r="G69" s="73">
        <f t="shared" si="19"/>
        <v>91333823</v>
      </c>
      <c r="H69" s="73">
        <f t="shared" si="19"/>
        <v>64506000</v>
      </c>
      <c r="I69" s="73">
        <f t="shared" si="19"/>
        <v>64506000</v>
      </c>
      <c r="J69" s="73">
        <f t="shared" si="19"/>
        <v>64506000</v>
      </c>
      <c r="K69" s="73">
        <f t="shared" si="19"/>
        <v>64506000</v>
      </c>
      <c r="L69" s="73">
        <f t="shared" si="19"/>
        <v>87325111</v>
      </c>
      <c r="M69" s="73">
        <f t="shared" si="19"/>
        <v>67212329</v>
      </c>
      <c r="N69" s="73">
        <f t="shared" si="19"/>
        <v>831706096</v>
      </c>
      <c r="O69" s="236"/>
    </row>
    <row r="71" spans="1:16" x14ac:dyDescent="0.25">
      <c r="A71" s="2" t="s">
        <v>111</v>
      </c>
      <c r="B71" s="2" t="s">
        <v>112</v>
      </c>
      <c r="C71" s="2" t="s">
        <v>113</v>
      </c>
      <c r="D71" s="2" t="s">
        <v>114</v>
      </c>
      <c r="E71" s="2" t="s">
        <v>115</v>
      </c>
      <c r="F71" s="2" t="s">
        <v>116</v>
      </c>
      <c r="G71" s="2" t="s">
        <v>117</v>
      </c>
      <c r="H71" s="2" t="s">
        <v>118</v>
      </c>
      <c r="I71" s="2" t="s">
        <v>119</v>
      </c>
      <c r="J71" s="2" t="s">
        <v>120</v>
      </c>
      <c r="K71" s="2" t="s">
        <v>121</v>
      </c>
      <c r="L71" s="2" t="s">
        <v>122</v>
      </c>
      <c r="M71" s="2" t="s">
        <v>123</v>
      </c>
      <c r="N71" s="2" t="s">
        <v>124</v>
      </c>
    </row>
    <row r="72" spans="1:16" x14ac:dyDescent="0.25">
      <c r="A72" s="2" t="s">
        <v>130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</row>
    <row r="73" spans="1:16" ht="15.75" x14ac:dyDescent="0.25">
      <c r="A73" s="70" t="s">
        <v>195</v>
      </c>
      <c r="B73" s="50">
        <v>24300000</v>
      </c>
      <c r="C73" s="50">
        <v>24300000</v>
      </c>
      <c r="D73" s="50">
        <v>24300000</v>
      </c>
      <c r="E73" s="50">
        <v>24300000</v>
      </c>
      <c r="F73" s="50">
        <v>24300000</v>
      </c>
      <c r="G73" s="50">
        <v>24300000</v>
      </c>
      <c r="H73" s="50">
        <v>24300000</v>
      </c>
      <c r="I73" s="50">
        <v>24300000</v>
      </c>
      <c r="J73" s="50">
        <v>24300000</v>
      </c>
      <c r="K73" s="50">
        <v>24300000</v>
      </c>
      <c r="L73" s="50">
        <v>24300000</v>
      </c>
      <c r="M73" s="50">
        <v>24300000</v>
      </c>
      <c r="N73" s="71">
        <f>'2B'!C22</f>
        <v>291600000</v>
      </c>
      <c r="O73" s="194">
        <f t="shared" ref="O73:O76" si="20">SUM(B73:M73)</f>
        <v>291600000</v>
      </c>
      <c r="P73" s="194">
        <f t="shared" ref="P73:P76" si="21">N73-O73</f>
        <v>0</v>
      </c>
    </row>
    <row r="74" spans="1:16" ht="15.75" x14ac:dyDescent="0.25">
      <c r="A74" s="70" t="s">
        <v>60</v>
      </c>
      <c r="B74" s="50">
        <v>22895177</v>
      </c>
      <c r="C74" s="50">
        <v>22895177</v>
      </c>
      <c r="D74" s="50">
        <v>22895177</v>
      </c>
      <c r="E74" s="50">
        <v>22895177</v>
      </c>
      <c r="F74" s="50">
        <v>22895177</v>
      </c>
      <c r="G74" s="50">
        <v>22895177</v>
      </c>
      <c r="H74" s="50">
        <v>22895177</v>
      </c>
      <c r="I74" s="50">
        <v>22895177</v>
      </c>
      <c r="J74" s="50">
        <v>22895177</v>
      </c>
      <c r="K74" s="50">
        <v>22895177</v>
      </c>
      <c r="L74" s="50">
        <v>22895177</v>
      </c>
      <c r="M74" s="50">
        <v>22895188</v>
      </c>
      <c r="N74" s="71">
        <f>'4'!C13</f>
        <v>274742135</v>
      </c>
      <c r="O74" s="194">
        <f t="shared" si="20"/>
        <v>274742135</v>
      </c>
      <c r="P74" s="194">
        <f t="shared" si="21"/>
        <v>0</v>
      </c>
    </row>
    <row r="75" spans="1:16" ht="15.75" x14ac:dyDescent="0.25">
      <c r="A75" s="70" t="s">
        <v>131</v>
      </c>
      <c r="B75" s="50">
        <v>11630724</v>
      </c>
      <c r="C75" s="50">
        <v>11630724</v>
      </c>
      <c r="D75" s="50">
        <f>11630724+16455134+6143060</f>
        <v>34228918</v>
      </c>
      <c r="E75" s="50">
        <v>11630724</v>
      </c>
      <c r="F75" s="50">
        <v>11630724</v>
      </c>
      <c r="G75" s="50">
        <f>11630724+6143060</f>
        <v>17773784</v>
      </c>
      <c r="H75" s="50">
        <v>11630724</v>
      </c>
      <c r="I75" s="50">
        <v>11630724</v>
      </c>
      <c r="J75" s="50">
        <f>11630724+16455134+6143060</f>
        <v>34228918</v>
      </c>
      <c r="K75" s="50">
        <f>11630724+4294682</f>
        <v>15925406</v>
      </c>
      <c r="L75" s="50">
        <v>11630724</v>
      </c>
      <c r="M75" s="50">
        <f>11630724+6143060</f>
        <v>17773784</v>
      </c>
      <c r="N75" s="71">
        <f>'4'!D13+'4'!E13+'4'!G13+'4'!H13</f>
        <v>201345878</v>
      </c>
      <c r="O75" s="194">
        <f t="shared" si="20"/>
        <v>201345878</v>
      </c>
      <c r="P75" s="194">
        <f t="shared" si="21"/>
        <v>0</v>
      </c>
    </row>
    <row r="76" spans="1:16" ht="15.75" x14ac:dyDescent="0.25">
      <c r="A76" s="70" t="s">
        <v>189</v>
      </c>
      <c r="B76" s="50">
        <v>2960932</v>
      </c>
      <c r="C76" s="50">
        <v>5680099</v>
      </c>
      <c r="D76" s="50">
        <v>0</v>
      </c>
      <c r="E76" s="50">
        <v>0</v>
      </c>
      <c r="F76" s="50">
        <v>2442103</v>
      </c>
      <c r="G76" s="50">
        <v>26364862</v>
      </c>
      <c r="H76" s="50">
        <v>5680099</v>
      </c>
      <c r="I76" s="50">
        <v>5680099</v>
      </c>
      <c r="J76" s="50">
        <v>0</v>
      </c>
      <c r="K76" s="50">
        <v>0</v>
      </c>
      <c r="L76" s="50">
        <v>12966532</v>
      </c>
      <c r="M76" s="50">
        <v>2243357</v>
      </c>
      <c r="N76" s="71">
        <f>'4'!I13</f>
        <v>64018083</v>
      </c>
      <c r="O76" s="194">
        <f t="shared" si="20"/>
        <v>64018083</v>
      </c>
      <c r="P76" s="194">
        <f t="shared" si="21"/>
        <v>0</v>
      </c>
    </row>
    <row r="77" spans="1:16" ht="15.75" x14ac:dyDescent="0.25">
      <c r="A77" s="72" t="s">
        <v>132</v>
      </c>
      <c r="B77" s="73">
        <f t="shared" ref="B77:N77" si="22">SUM(B73:B76)</f>
        <v>61786833</v>
      </c>
      <c r="C77" s="73">
        <f t="shared" si="22"/>
        <v>64506000</v>
      </c>
      <c r="D77" s="73">
        <f t="shared" si="22"/>
        <v>81424095</v>
      </c>
      <c r="E77" s="73">
        <f t="shared" si="22"/>
        <v>58825901</v>
      </c>
      <c r="F77" s="73">
        <f t="shared" si="22"/>
        <v>61268004</v>
      </c>
      <c r="G77" s="73">
        <f t="shared" si="22"/>
        <v>91333823</v>
      </c>
      <c r="H77" s="73">
        <f t="shared" si="22"/>
        <v>64506000</v>
      </c>
      <c r="I77" s="73">
        <f t="shared" si="22"/>
        <v>64506000</v>
      </c>
      <c r="J77" s="73">
        <f t="shared" si="22"/>
        <v>81424095</v>
      </c>
      <c r="K77" s="73">
        <f t="shared" si="22"/>
        <v>63120583</v>
      </c>
      <c r="L77" s="73">
        <f t="shared" si="22"/>
        <v>71792433</v>
      </c>
      <c r="M77" s="73">
        <f t="shared" si="22"/>
        <v>67212329</v>
      </c>
      <c r="N77" s="73">
        <f t="shared" si="22"/>
        <v>831706096</v>
      </c>
      <c r="O77" s="236"/>
    </row>
    <row r="78" spans="1:16" x14ac:dyDescent="0.25">
      <c r="A78" s="1" t="s">
        <v>336</v>
      </c>
      <c r="B78" s="185">
        <f>B77-B69</f>
        <v>0</v>
      </c>
      <c r="C78" s="185">
        <f>B78+C77-C69</f>
        <v>0</v>
      </c>
      <c r="D78" s="185">
        <f t="shared" ref="D78:N78" si="23">C78+D77-D69</f>
        <v>14418095</v>
      </c>
      <c r="E78" s="185">
        <f t="shared" si="23"/>
        <v>6237996</v>
      </c>
      <c r="F78" s="185">
        <f t="shared" si="23"/>
        <v>0</v>
      </c>
      <c r="G78" s="185">
        <f t="shared" si="23"/>
        <v>0</v>
      </c>
      <c r="H78" s="185">
        <f t="shared" si="23"/>
        <v>0</v>
      </c>
      <c r="I78" s="185">
        <f t="shared" si="23"/>
        <v>0</v>
      </c>
      <c r="J78" s="185">
        <f t="shared" si="23"/>
        <v>16918095</v>
      </c>
      <c r="K78" s="185">
        <f t="shared" si="23"/>
        <v>15532678</v>
      </c>
      <c r="L78" s="185">
        <f t="shared" si="23"/>
        <v>0</v>
      </c>
      <c r="M78" s="185">
        <f t="shared" si="23"/>
        <v>0</v>
      </c>
      <c r="N78" s="185">
        <f t="shared" si="23"/>
        <v>0</v>
      </c>
    </row>
    <row r="80" spans="1:16" x14ac:dyDescent="0.25">
      <c r="A80" s="256" t="s">
        <v>109</v>
      </c>
      <c r="B80" s="256"/>
      <c r="C80" s="256"/>
      <c r="D80" s="256"/>
      <c r="E80" s="256"/>
      <c r="F80" s="256"/>
      <c r="G80" s="256"/>
      <c r="H80" s="256"/>
      <c r="I80" s="256"/>
      <c r="J80" s="256"/>
      <c r="K80" s="256"/>
      <c r="L80" s="256"/>
      <c r="M80" s="256"/>
      <c r="N80" s="256"/>
    </row>
    <row r="81" spans="1:1" x14ac:dyDescent="0.25">
      <c r="A81" s="1" t="s">
        <v>339</v>
      </c>
    </row>
  </sheetData>
  <mergeCells count="16">
    <mergeCell ref="A57:N57"/>
    <mergeCell ref="A59:N59"/>
    <mergeCell ref="A60:N60"/>
    <mergeCell ref="A80:N80"/>
    <mergeCell ref="A30:N30"/>
    <mergeCell ref="A32:N32"/>
    <mergeCell ref="A33:N33"/>
    <mergeCell ref="A35:N35"/>
    <mergeCell ref="A36:N36"/>
    <mergeCell ref="A56:N56"/>
    <mergeCell ref="A9:N9"/>
    <mergeCell ref="B1:C1"/>
    <mergeCell ref="M1:N1"/>
    <mergeCell ref="A5:N5"/>
    <mergeCell ref="A6:N6"/>
    <mergeCell ref="A8:N8"/>
  </mergeCells>
  <pageMargins left="0.70826771653543308" right="0.70826771653543308" top="1.1417322834645671" bottom="1.1417322834645671" header="0.74803149606299213" footer="0.74803149606299213"/>
  <pageSetup paperSize="9" scale="50" fitToHeight="0" orientation="landscape" r:id="rId1"/>
  <headerFooter alignWithMargins="0"/>
  <rowBreaks count="1" manualBreakCount="1">
    <brk id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33"/>
  <sheetViews>
    <sheetView topLeftCell="A22" workbookViewId="0">
      <selection activeCell="G40" sqref="G40"/>
    </sheetView>
  </sheetViews>
  <sheetFormatPr defaultRowHeight="15" x14ac:dyDescent="0.25"/>
  <cols>
    <col min="1" max="1" width="33.5" style="1" customWidth="1"/>
    <col min="2" max="3" width="13" style="1" customWidth="1"/>
    <col min="4" max="4" width="17" style="1" customWidth="1"/>
    <col min="5" max="1022" width="8.75" style="1" customWidth="1"/>
    <col min="1023" max="1023" width="9" customWidth="1"/>
  </cols>
  <sheetData>
    <row r="1" spans="1:7" ht="15.75" x14ac:dyDescent="0.25">
      <c r="A1" s="74"/>
      <c r="C1" s="237" t="s">
        <v>196</v>
      </c>
      <c r="D1" s="237"/>
    </row>
    <row r="2" spans="1:7" ht="15.75" x14ac:dyDescent="0.25">
      <c r="A2" s="75"/>
    </row>
    <row r="3" spans="1:7" ht="15.75" x14ac:dyDescent="0.25">
      <c r="A3" s="239" t="s">
        <v>8</v>
      </c>
      <c r="B3" s="239"/>
      <c r="C3" s="239"/>
      <c r="D3" s="239"/>
    </row>
    <row r="4" spans="1:7" ht="15.75" x14ac:dyDescent="0.25">
      <c r="A4" s="239" t="s">
        <v>134</v>
      </c>
      <c r="B4" s="239"/>
      <c r="C4" s="239"/>
      <c r="D4" s="239"/>
    </row>
    <row r="5" spans="1:7" ht="15.75" x14ac:dyDescent="0.25">
      <c r="A5" s="239" t="s">
        <v>340</v>
      </c>
      <c r="B5" s="239"/>
      <c r="C5" s="239"/>
      <c r="D5" s="239"/>
      <c r="G5"/>
    </row>
    <row r="6" spans="1:7" ht="15.75" x14ac:dyDescent="0.25">
      <c r="A6" s="76"/>
      <c r="G6"/>
    </row>
    <row r="7" spans="1:7" ht="15.75" customHeight="1" x14ac:dyDescent="0.25">
      <c r="A7" s="257" t="s">
        <v>135</v>
      </c>
      <c r="B7" s="257"/>
      <c r="C7" s="257"/>
      <c r="D7" s="257"/>
    </row>
    <row r="8" spans="1:7" x14ac:dyDescent="0.25">
      <c r="A8" s="77"/>
      <c r="G8"/>
    </row>
    <row r="9" spans="1:7" ht="16.5" thickBot="1" x14ac:dyDescent="0.3">
      <c r="B9" s="78" t="s">
        <v>136</v>
      </c>
      <c r="C9" s="129"/>
      <c r="D9" s="4"/>
    </row>
    <row r="10" spans="1:7" ht="33" customHeight="1" thickTop="1" x14ac:dyDescent="0.25">
      <c r="A10" s="79" t="s">
        <v>6</v>
      </c>
      <c r="B10" s="80" t="s">
        <v>243</v>
      </c>
      <c r="C10" s="80" t="s">
        <v>341</v>
      </c>
      <c r="D10" s="79" t="s">
        <v>137</v>
      </c>
    </row>
    <row r="11" spans="1:7" ht="15.75" x14ac:dyDescent="0.25">
      <c r="A11" s="81" t="s">
        <v>138</v>
      </c>
      <c r="B11" s="82" t="s">
        <v>139</v>
      </c>
      <c r="C11" s="82" t="s">
        <v>139</v>
      </c>
      <c r="D11" s="83"/>
    </row>
    <row r="12" spans="1:7" ht="16.5" customHeight="1" thickBot="1" x14ac:dyDescent="0.3">
      <c r="A12" s="84"/>
      <c r="B12" s="85" t="s">
        <v>140</v>
      </c>
      <c r="C12" s="85" t="s">
        <v>140</v>
      </c>
      <c r="D12" s="83"/>
    </row>
    <row r="13" spans="1:7" ht="47.25" customHeight="1" thickTop="1" x14ac:dyDescent="0.25">
      <c r="A13" s="145" t="s">
        <v>201</v>
      </c>
      <c r="B13" s="87">
        <f>SUM(B14:B17)</f>
        <v>57</v>
      </c>
      <c r="C13" s="87">
        <f>SUM(C14:C17)</f>
        <v>58</v>
      </c>
      <c r="D13" s="88">
        <v>0</v>
      </c>
    </row>
    <row r="14" spans="1:7" ht="19.5" customHeight="1" x14ac:dyDescent="0.25">
      <c r="A14" s="89" t="s">
        <v>141</v>
      </c>
      <c r="B14" s="90">
        <v>8</v>
      </c>
      <c r="C14" s="90">
        <v>8</v>
      </c>
      <c r="D14" s="91">
        <v>0</v>
      </c>
    </row>
    <row r="15" spans="1:7" ht="21.75" customHeight="1" x14ac:dyDescent="0.25">
      <c r="A15" s="89" t="s">
        <v>213</v>
      </c>
      <c r="B15" s="90">
        <v>16</v>
      </c>
      <c r="C15" s="90">
        <v>17</v>
      </c>
      <c r="D15" s="91">
        <v>0</v>
      </c>
    </row>
    <row r="16" spans="1:7" ht="42.75" customHeight="1" x14ac:dyDescent="0.25">
      <c r="A16" s="89" t="s">
        <v>214</v>
      </c>
      <c r="B16" s="90">
        <v>22</v>
      </c>
      <c r="C16" s="90">
        <v>22</v>
      </c>
      <c r="D16" s="91">
        <v>0</v>
      </c>
    </row>
    <row r="17" spans="1:1022" s="180" customFormat="1" ht="42.75" customHeight="1" x14ac:dyDescent="0.25">
      <c r="A17" s="182" t="s">
        <v>281</v>
      </c>
      <c r="B17" s="181">
        <v>11</v>
      </c>
      <c r="C17" s="181">
        <v>11</v>
      </c>
      <c r="D17" s="9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ht="37.5" customHeight="1" x14ac:dyDescent="0.25">
      <c r="A18" s="86" t="s">
        <v>108</v>
      </c>
      <c r="B18" s="167">
        <f>SUM(B19:B29)</f>
        <v>146</v>
      </c>
      <c r="C18" s="167">
        <f>SUM(C19:C29)</f>
        <v>154</v>
      </c>
      <c r="D18" s="88">
        <f>SUM(D19:D29)</f>
        <v>0</v>
      </c>
    </row>
    <row r="19" spans="1:1022" ht="33.75" customHeight="1" x14ac:dyDescent="0.25">
      <c r="A19" s="89" t="s">
        <v>142</v>
      </c>
      <c r="B19" s="168">
        <v>47</v>
      </c>
      <c r="C19" s="168">
        <v>47</v>
      </c>
      <c r="D19" s="91">
        <v>0</v>
      </c>
    </row>
    <row r="20" spans="1:1022" ht="21" customHeight="1" x14ac:dyDescent="0.25">
      <c r="A20" s="89" t="s">
        <v>215</v>
      </c>
      <c r="B20" s="168">
        <v>29</v>
      </c>
      <c r="C20" s="168">
        <v>35</v>
      </c>
      <c r="D20" s="91">
        <v>0</v>
      </c>
    </row>
    <row r="21" spans="1:1022" ht="19.5" customHeight="1" x14ac:dyDescent="0.25">
      <c r="A21" s="89" t="s">
        <v>175</v>
      </c>
      <c r="B21" s="168">
        <v>7</v>
      </c>
      <c r="C21" s="168">
        <v>9</v>
      </c>
      <c r="D21" s="91">
        <v>0</v>
      </c>
    </row>
    <row r="22" spans="1:1022" ht="18" customHeight="1" x14ac:dyDescent="0.25">
      <c r="A22" s="89" t="s">
        <v>216</v>
      </c>
      <c r="B22" s="168">
        <v>15</v>
      </c>
      <c r="C22" s="168">
        <v>15</v>
      </c>
      <c r="D22" s="91">
        <v>0</v>
      </c>
    </row>
    <row r="23" spans="1:1022" ht="18" customHeight="1" x14ac:dyDescent="0.25">
      <c r="A23" s="89" t="s">
        <v>217</v>
      </c>
      <c r="B23" s="168">
        <v>6</v>
      </c>
      <c r="C23" s="168">
        <v>6</v>
      </c>
      <c r="D23" s="91">
        <v>0</v>
      </c>
    </row>
    <row r="24" spans="1:1022" ht="16.5" customHeight="1" x14ac:dyDescent="0.25">
      <c r="A24" s="89" t="s">
        <v>143</v>
      </c>
      <c r="B24" s="168">
        <v>2</v>
      </c>
      <c r="C24" s="168">
        <v>3</v>
      </c>
      <c r="D24" s="91">
        <v>0</v>
      </c>
    </row>
    <row r="25" spans="1:1022" s="191" customFormat="1" ht="16.5" customHeight="1" x14ac:dyDescent="0.25">
      <c r="A25" s="89" t="s">
        <v>342</v>
      </c>
      <c r="B25" s="168">
        <v>0</v>
      </c>
      <c r="C25" s="168">
        <v>2</v>
      </c>
      <c r="D25" s="9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</row>
    <row r="26" spans="1:1022" ht="18.75" customHeight="1" x14ac:dyDescent="0.25">
      <c r="A26" s="89" t="s">
        <v>144</v>
      </c>
      <c r="B26" s="168">
        <v>1</v>
      </c>
      <c r="C26" s="168">
        <v>1</v>
      </c>
      <c r="D26" s="91">
        <v>0</v>
      </c>
    </row>
    <row r="27" spans="1:1022" ht="18" customHeight="1" x14ac:dyDescent="0.25">
      <c r="A27" s="89" t="s">
        <v>145</v>
      </c>
      <c r="B27" s="168">
        <v>34</v>
      </c>
      <c r="C27" s="168">
        <v>34</v>
      </c>
      <c r="D27" s="91">
        <v>0</v>
      </c>
    </row>
    <row r="28" spans="1:1022" ht="18.75" customHeight="1" x14ac:dyDescent="0.25">
      <c r="A28" s="89" t="s">
        <v>146</v>
      </c>
      <c r="B28" s="168">
        <v>1</v>
      </c>
      <c r="C28" s="168">
        <v>1</v>
      </c>
      <c r="D28" s="91">
        <v>0</v>
      </c>
    </row>
    <row r="29" spans="1:1022" ht="18" customHeight="1" x14ac:dyDescent="0.25">
      <c r="A29" s="89" t="s">
        <v>147</v>
      </c>
      <c r="B29" s="168">
        <v>4</v>
      </c>
      <c r="C29" s="168">
        <v>1</v>
      </c>
      <c r="D29" s="91">
        <v>0</v>
      </c>
    </row>
    <row r="30" spans="1:1022" ht="62.25" customHeight="1" x14ac:dyDescent="0.25">
      <c r="A30" s="86" t="s">
        <v>244</v>
      </c>
      <c r="B30" s="169">
        <v>0</v>
      </c>
      <c r="C30" s="166">
        <v>0</v>
      </c>
      <c r="D30" s="92">
        <v>0</v>
      </c>
    </row>
    <row r="31" spans="1:1022" ht="21.75" customHeight="1" x14ac:dyDescent="0.25">
      <c r="A31" s="86" t="s">
        <v>100</v>
      </c>
      <c r="B31" s="87">
        <f>B30+B18+B13</f>
        <v>203</v>
      </c>
      <c r="C31" s="87">
        <f>SUM(C13+C18+C30)</f>
        <v>212</v>
      </c>
      <c r="D31" s="88">
        <f>SUM(D13+D18+D30)</f>
        <v>0</v>
      </c>
    </row>
    <row r="33" spans="1:1" x14ac:dyDescent="0.25">
      <c r="A33" s="1" t="s">
        <v>343</v>
      </c>
    </row>
  </sheetData>
  <mergeCells count="5">
    <mergeCell ref="A3:D3"/>
    <mergeCell ref="A4:D4"/>
    <mergeCell ref="A5:D5"/>
    <mergeCell ref="A7:D7"/>
    <mergeCell ref="C1:D1"/>
  </mergeCells>
  <pageMargins left="0.70000000000000007" right="0.70000000000000007" top="1.1437007874015752" bottom="1.1437007874015752" header="0.75000000000000011" footer="0.75000000000000011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workbookViewId="0">
      <selection activeCell="G19" sqref="G19"/>
    </sheetView>
  </sheetViews>
  <sheetFormatPr defaultRowHeight="15" x14ac:dyDescent="0.2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5" width="17.625" style="1" customWidth="1"/>
    <col min="6" max="1024" width="8.75" style="1" customWidth="1"/>
    <col min="1025" max="1025" width="9" customWidth="1"/>
  </cols>
  <sheetData>
    <row r="1" spans="1:1024" ht="15.75" x14ac:dyDescent="0.25">
      <c r="A1" s="107"/>
      <c r="B1" s="258" t="s">
        <v>197</v>
      </c>
      <c r="C1" s="258"/>
      <c r="D1" s="258"/>
      <c r="E1" s="258"/>
    </row>
    <row r="2" spans="1:1024" ht="15.75" x14ac:dyDescent="0.25">
      <c r="A2" s="259" t="s">
        <v>8</v>
      </c>
      <c r="B2" s="259"/>
      <c r="C2" s="259"/>
      <c r="D2" s="259"/>
      <c r="E2" s="259"/>
    </row>
    <row r="3" spans="1:1024" ht="15.75" x14ac:dyDescent="0.25">
      <c r="A3" s="108"/>
      <c r="B3" s="108"/>
      <c r="C3" s="108"/>
      <c r="D3" s="107"/>
      <c r="E3" s="107"/>
    </row>
    <row r="4" spans="1:1024" ht="15.75" x14ac:dyDescent="0.25">
      <c r="A4" s="259" t="s">
        <v>347</v>
      </c>
      <c r="B4" s="259"/>
      <c r="C4" s="259"/>
      <c r="D4" s="259"/>
      <c r="E4" s="259"/>
    </row>
    <row r="5" spans="1:1024" ht="15.75" x14ac:dyDescent="0.25">
      <c r="A5" s="107"/>
      <c r="B5" s="107"/>
      <c r="C5" s="107"/>
      <c r="D5" s="107"/>
      <c r="E5" s="107"/>
    </row>
    <row r="6" spans="1:1024" ht="15.75" x14ac:dyDescent="0.25">
      <c r="A6" s="259" t="s">
        <v>10</v>
      </c>
      <c r="B6" s="259"/>
      <c r="C6" s="259"/>
      <c r="D6" s="107"/>
      <c r="E6" s="107"/>
    </row>
    <row r="7" spans="1:1024" ht="15.75" x14ac:dyDescent="0.25">
      <c r="A7" s="75" t="s">
        <v>182</v>
      </c>
      <c r="B7" s="107"/>
      <c r="C7" s="107"/>
      <c r="D7" s="107"/>
      <c r="E7" s="107"/>
    </row>
    <row r="8" spans="1:1024" s="42" customFormat="1" ht="47.25" x14ac:dyDescent="0.25">
      <c r="A8" s="109" t="s">
        <v>92</v>
      </c>
      <c r="B8" s="110" t="s">
        <v>185</v>
      </c>
      <c r="C8" s="111" t="s">
        <v>346</v>
      </c>
      <c r="D8" s="75" t="s">
        <v>181</v>
      </c>
      <c r="E8" s="75" t="s">
        <v>180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s="96" customFormat="1" ht="15.75" x14ac:dyDescent="0.25">
      <c r="A9" s="112" t="s">
        <v>163</v>
      </c>
      <c r="B9" s="113" t="s">
        <v>57</v>
      </c>
      <c r="C9" s="114">
        <v>60896</v>
      </c>
      <c r="D9" s="113">
        <v>425</v>
      </c>
      <c r="E9" s="115">
        <v>25880800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s="96" customFormat="1" ht="15.75" x14ac:dyDescent="0.25">
      <c r="A10" s="112" t="s">
        <v>164</v>
      </c>
      <c r="B10" s="113" t="s">
        <v>58</v>
      </c>
      <c r="C10" s="114">
        <v>429000</v>
      </c>
      <c r="D10" s="116">
        <v>149</v>
      </c>
      <c r="E10" s="115">
        <v>63921000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s="96" customFormat="1" ht="15.75" x14ac:dyDescent="0.25">
      <c r="A11" s="112" t="s">
        <v>165</v>
      </c>
      <c r="B11" s="113" t="s">
        <v>166</v>
      </c>
      <c r="C11" s="114">
        <v>163500</v>
      </c>
      <c r="D11" s="113">
        <v>55</v>
      </c>
      <c r="E11" s="115">
        <v>8992500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96" customFormat="1" ht="15.75" x14ac:dyDescent="0.25">
      <c r="A12" s="112" t="s">
        <v>167</v>
      </c>
      <c r="B12" s="113" t="s">
        <v>168</v>
      </c>
      <c r="C12" s="114">
        <v>550000</v>
      </c>
      <c r="D12" s="116">
        <v>17</v>
      </c>
      <c r="E12" s="115">
        <f t="shared" ref="E12:E16" si="0">SUM(D12*C12)</f>
        <v>9350000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96" customFormat="1" ht="15.75" x14ac:dyDescent="0.25">
      <c r="A13" s="112" t="s">
        <v>167</v>
      </c>
      <c r="B13" s="113" t="s">
        <v>169</v>
      </c>
      <c r="C13" s="114">
        <v>220000</v>
      </c>
      <c r="D13" s="113">
        <v>10</v>
      </c>
      <c r="E13" s="115">
        <f t="shared" si="0"/>
        <v>2200000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s="96" customFormat="1" ht="15.75" x14ac:dyDescent="0.25">
      <c r="A14" s="112" t="s">
        <v>170</v>
      </c>
      <c r="B14" s="113" t="s">
        <v>171</v>
      </c>
      <c r="C14" s="116">
        <v>550000</v>
      </c>
      <c r="D14" s="113">
        <v>18</v>
      </c>
      <c r="E14" s="115">
        <f t="shared" si="0"/>
        <v>9900000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s="96" customFormat="1" ht="15.75" x14ac:dyDescent="0.25">
      <c r="A15" s="117" t="s">
        <v>172</v>
      </c>
      <c r="B15" s="118" t="s">
        <v>173</v>
      </c>
      <c r="C15" s="119">
        <v>247320</v>
      </c>
      <c r="D15" s="118">
        <v>36</v>
      </c>
      <c r="E15" s="115">
        <f t="shared" si="0"/>
        <v>8903520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s="96" customFormat="1" ht="15.75" x14ac:dyDescent="0.25">
      <c r="A16" s="117" t="s">
        <v>174</v>
      </c>
      <c r="B16" s="118" t="s">
        <v>175</v>
      </c>
      <c r="C16" s="119">
        <v>539000</v>
      </c>
      <c r="D16" s="118">
        <v>36</v>
      </c>
      <c r="E16" s="115">
        <f t="shared" si="0"/>
        <v>19404000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s="96" customFormat="1" ht="15.75" x14ac:dyDescent="0.25">
      <c r="A17" s="117" t="s">
        <v>176</v>
      </c>
      <c r="B17" s="118" t="s">
        <v>177</v>
      </c>
      <c r="C17" s="119">
        <v>2848000</v>
      </c>
      <c r="D17" s="199">
        <f>E17/C17</f>
        <v>32.519685042134832</v>
      </c>
      <c r="E17" s="120">
        <v>92616063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s="96" customFormat="1" ht="15.75" x14ac:dyDescent="0.25">
      <c r="A18" s="113" t="s">
        <v>178</v>
      </c>
      <c r="B18" s="113" t="s">
        <v>179</v>
      </c>
      <c r="C18" s="116"/>
      <c r="D18" s="113"/>
      <c r="E18" s="116">
        <v>33574252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s="96" customFormat="1" ht="15.75" x14ac:dyDescent="0.25">
      <c r="A19" s="109"/>
      <c r="B19" s="110" t="s">
        <v>70</v>
      </c>
      <c r="C19" s="111"/>
      <c r="D19" s="107"/>
      <c r="E19" s="124">
        <f>SUM(E9:E18)</f>
        <v>274742135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x14ac:dyDescent="0.25">
      <c r="A20"/>
      <c r="B20" s="93"/>
      <c r="C20" s="94"/>
    </row>
    <row r="21" spans="1:1024" ht="15.75" x14ac:dyDescent="0.25">
      <c r="A21" s="260" t="s">
        <v>201</v>
      </c>
      <c r="B21" s="260"/>
      <c r="C21" s="260"/>
      <c r="D21" s="107"/>
      <c r="E21" s="107"/>
    </row>
    <row r="22" spans="1:1024" s="96" customFormat="1" ht="47.25" x14ac:dyDescent="0.25">
      <c r="A22" s="109" t="s">
        <v>92</v>
      </c>
      <c r="B22" s="110" t="s">
        <v>185</v>
      </c>
      <c r="C22" s="111" t="s">
        <v>346</v>
      </c>
      <c r="D22" s="75" t="s">
        <v>181</v>
      </c>
      <c r="E22" s="75" t="s">
        <v>180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s="96" customFormat="1" ht="15.75" x14ac:dyDescent="0.25">
      <c r="A23" s="112" t="s">
        <v>183</v>
      </c>
      <c r="B23" s="113" t="s">
        <v>198</v>
      </c>
      <c r="C23" s="114" t="s">
        <v>247</v>
      </c>
      <c r="D23" s="113">
        <f>E23/3400000</f>
        <v>15.6</v>
      </c>
      <c r="E23" s="115">
        <v>53040000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96" customFormat="1" ht="15.75" x14ac:dyDescent="0.25">
      <c r="A24" s="112" t="s">
        <v>199</v>
      </c>
      <c r="B24" s="113" t="s">
        <v>200</v>
      </c>
      <c r="C24" s="114" t="s">
        <v>248</v>
      </c>
      <c r="D24" s="142">
        <f>E24/3300000</f>
        <v>11.8</v>
      </c>
      <c r="E24" s="115">
        <v>38940000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96" customFormat="1" ht="15.75" x14ac:dyDescent="0.25">
      <c r="A25" s="112" t="s">
        <v>184</v>
      </c>
      <c r="B25" s="113" t="s">
        <v>249</v>
      </c>
      <c r="C25" s="119">
        <v>2848000</v>
      </c>
      <c r="D25" s="198">
        <f>E25/C25</f>
        <v>2.4803149606299213</v>
      </c>
      <c r="E25" s="115">
        <f>'[2]CSGYK 20190104'!$G$110</f>
        <v>7063937.0078740157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80" customFormat="1" ht="15.75" x14ac:dyDescent="0.25">
      <c r="A26" s="113" t="s">
        <v>178</v>
      </c>
      <c r="B26" s="113" t="s">
        <v>179</v>
      </c>
      <c r="C26" s="121"/>
      <c r="D26" s="121"/>
      <c r="E26" s="116">
        <f>'[2]CSGYK 20190104'!$G$111</f>
        <v>2560748.0314960629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91" customFormat="1" ht="31.5" x14ac:dyDescent="0.25">
      <c r="A27" s="125" t="s">
        <v>344</v>
      </c>
      <c r="B27" s="197" t="s">
        <v>345</v>
      </c>
      <c r="C27" s="121"/>
      <c r="D27" s="121"/>
      <c r="E27" s="116">
        <v>37589415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ht="15.75" x14ac:dyDescent="0.25">
      <c r="A28" s="125"/>
      <c r="B28" s="127" t="s">
        <v>100</v>
      </c>
      <c r="C28" s="125"/>
      <c r="D28" s="125"/>
      <c r="E28" s="126">
        <f>SUM(E23:E27)</f>
        <v>139194100.03937006</v>
      </c>
    </row>
    <row r="29" spans="1:1024" s="96" customFormat="1" ht="15.75" x14ac:dyDescent="0.25">
      <c r="A29" s="122"/>
      <c r="B29" s="128"/>
      <c r="C29" s="122"/>
      <c r="D29" s="122"/>
      <c r="E29" s="12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96" customFormat="1" ht="15.75" x14ac:dyDescent="0.25">
      <c r="A30" s="122"/>
      <c r="B30" s="128" t="s">
        <v>186</v>
      </c>
      <c r="C30" s="122"/>
      <c r="D30" s="122"/>
      <c r="E30" s="123">
        <f>E19+E28</f>
        <v>413936235.03937006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s="96" customFormat="1" ht="15.75" x14ac:dyDescent="0.25">
      <c r="A31" s="122"/>
      <c r="B31" s="122"/>
      <c r="C31" s="122"/>
      <c r="D31" s="122"/>
      <c r="E31" s="12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</row>
    <row r="32" spans="1:1024" x14ac:dyDescent="0.25">
      <c r="A32" s="1" t="s">
        <v>294</v>
      </c>
    </row>
  </sheetData>
  <mergeCells count="5">
    <mergeCell ref="B1:E1"/>
    <mergeCell ref="A6:C6"/>
    <mergeCell ref="A21:C21"/>
    <mergeCell ref="A2:E2"/>
    <mergeCell ref="A4:E4"/>
  </mergeCells>
  <pageMargins left="0.70000000000000007" right="0.70000000000000007" top="1.1437007874015752" bottom="1.1437007874015752" header="0.75000000000000011" footer="0.75000000000000011"/>
  <pageSetup paperSize="9" scale="84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zoomScaleNormal="100" workbookViewId="0">
      <selection activeCell="D67" sqref="D67"/>
    </sheetView>
  </sheetViews>
  <sheetFormatPr defaultColWidth="9" defaultRowHeight="15" x14ac:dyDescent="0.25"/>
  <cols>
    <col min="1" max="1" width="9" style="202"/>
    <col min="2" max="2" width="18.5" style="202" customWidth="1"/>
    <col min="3" max="3" width="14.25" style="202" customWidth="1"/>
    <col min="4" max="5" width="17.75" style="202" customWidth="1"/>
    <col min="6" max="7" width="15.625" style="202" customWidth="1"/>
    <col min="8" max="8" width="22.875" style="202" customWidth="1"/>
    <col min="9" max="9" width="14.125" style="202" customWidth="1"/>
    <col min="10" max="10" width="9" style="202"/>
    <col min="11" max="11" width="9.625" style="202" bestFit="1" customWidth="1"/>
    <col min="12" max="16384" width="9" style="202"/>
  </cols>
  <sheetData>
    <row r="1" spans="1:9" ht="15.75" x14ac:dyDescent="0.25">
      <c r="B1" s="203"/>
      <c r="C1" s="203"/>
      <c r="D1" s="203"/>
      <c r="E1" s="203"/>
      <c r="F1" s="203"/>
      <c r="G1" s="202" t="s">
        <v>354</v>
      </c>
    </row>
    <row r="2" spans="1:9" ht="15.75" x14ac:dyDescent="0.25">
      <c r="B2" s="261" t="s">
        <v>352</v>
      </c>
      <c r="C2" s="261"/>
      <c r="D2" s="261"/>
      <c r="E2" s="261"/>
      <c r="F2" s="261"/>
      <c r="G2" s="261"/>
    </row>
    <row r="3" spans="1:9" ht="15.75" x14ac:dyDescent="0.25">
      <c r="B3" s="203"/>
      <c r="C3" s="204"/>
      <c r="D3" s="205"/>
      <c r="E3" s="205"/>
      <c r="F3" s="203"/>
    </row>
    <row r="4" spans="1:9" ht="15.75" x14ac:dyDescent="0.25">
      <c r="B4" s="203"/>
      <c r="C4" s="203"/>
      <c r="D4" s="203"/>
      <c r="E4" s="203"/>
      <c r="F4" s="203"/>
    </row>
    <row r="5" spans="1:9" ht="15.75" x14ac:dyDescent="0.25">
      <c r="B5" s="203"/>
      <c r="C5" s="203"/>
      <c r="D5" s="203"/>
      <c r="E5" s="203"/>
      <c r="F5" s="203"/>
    </row>
    <row r="6" spans="1:9" ht="31.5" x14ac:dyDescent="0.25">
      <c r="B6" s="203"/>
      <c r="C6" s="203"/>
      <c r="D6" s="206" t="s">
        <v>319</v>
      </c>
      <c r="E6" s="203" t="s">
        <v>250</v>
      </c>
      <c r="F6" s="207" t="s">
        <v>320</v>
      </c>
      <c r="G6" s="203" t="s">
        <v>321</v>
      </c>
    </row>
    <row r="7" spans="1:9" ht="15.75" customHeight="1" x14ac:dyDescent="0.25">
      <c r="B7" s="208"/>
      <c r="C7" s="209" t="s">
        <v>251</v>
      </c>
      <c r="D7" s="210"/>
      <c r="E7" s="262" t="s">
        <v>252</v>
      </c>
      <c r="F7" s="264" t="s">
        <v>322</v>
      </c>
      <c r="G7" s="266" t="s">
        <v>323</v>
      </c>
    </row>
    <row r="8" spans="1:9" ht="48" customHeight="1" x14ac:dyDescent="0.25">
      <c r="B8" s="211" t="s">
        <v>253</v>
      </c>
      <c r="C8" s="212">
        <v>43101</v>
      </c>
      <c r="D8" s="213" t="s">
        <v>353</v>
      </c>
      <c r="E8" s="263"/>
      <c r="F8" s="265"/>
      <c r="G8" s="266"/>
    </row>
    <row r="9" spans="1:9" ht="15.75" x14ac:dyDescent="0.25">
      <c r="A9" s="202">
        <v>1</v>
      </c>
      <c r="B9" s="214" t="s">
        <v>254</v>
      </c>
      <c r="C9" s="186">
        <v>2013</v>
      </c>
      <c r="D9" s="215">
        <f t="shared" ref="D9:D35" si="0">SUM(C9*1223)</f>
        <v>2461899</v>
      </c>
      <c r="E9" s="216">
        <f>C9*270</f>
        <v>543510</v>
      </c>
      <c r="F9" s="217">
        <f>C9*100</f>
        <v>201300</v>
      </c>
      <c r="G9" s="217">
        <f>C9*20</f>
        <v>40260</v>
      </c>
      <c r="I9" s="218"/>
    </row>
    <row r="10" spans="1:9" ht="15.75" x14ac:dyDescent="0.25">
      <c r="A10" s="202">
        <f>A9+1</f>
        <v>2</v>
      </c>
      <c r="B10" s="214" t="s">
        <v>255</v>
      </c>
      <c r="C10" s="186">
        <v>1426</v>
      </c>
      <c r="D10" s="215">
        <f t="shared" si="0"/>
        <v>1743998</v>
      </c>
      <c r="E10" s="216">
        <f t="shared" ref="E10:E35" si="1">C10*270</f>
        <v>385020</v>
      </c>
      <c r="F10" s="217">
        <f t="shared" ref="F10:F35" si="2">C10*100</f>
        <v>142600</v>
      </c>
      <c r="G10" s="217">
        <f t="shared" ref="G10:G35" si="3">C10*20</f>
        <v>28520</v>
      </c>
      <c r="I10" s="218"/>
    </row>
    <row r="11" spans="1:9" ht="15.75" x14ac:dyDescent="0.25">
      <c r="A11" s="202">
        <f t="shared" ref="A11:A35" si="4">A10+1</f>
        <v>3</v>
      </c>
      <c r="B11" s="214" t="s">
        <v>256</v>
      </c>
      <c r="C11" s="186">
        <v>1563</v>
      </c>
      <c r="D11" s="215">
        <f t="shared" si="0"/>
        <v>1911549</v>
      </c>
      <c r="E11" s="216">
        <f t="shared" si="1"/>
        <v>422010</v>
      </c>
      <c r="F11" s="217">
        <f t="shared" si="2"/>
        <v>156300</v>
      </c>
      <c r="G11" s="217">
        <f t="shared" si="3"/>
        <v>31260</v>
      </c>
    </row>
    <row r="12" spans="1:9" ht="15.75" x14ac:dyDescent="0.25">
      <c r="A12" s="202">
        <f t="shared" si="4"/>
        <v>4</v>
      </c>
      <c r="B12" s="214" t="s">
        <v>257</v>
      </c>
      <c r="C12" s="186">
        <v>1955</v>
      </c>
      <c r="D12" s="215">
        <f t="shared" si="0"/>
        <v>2390965</v>
      </c>
      <c r="E12" s="216">
        <f t="shared" si="1"/>
        <v>527850</v>
      </c>
      <c r="F12" s="217">
        <f t="shared" si="2"/>
        <v>195500</v>
      </c>
      <c r="G12" s="217">
        <f t="shared" si="3"/>
        <v>39100</v>
      </c>
    </row>
    <row r="13" spans="1:9" ht="15.75" x14ac:dyDescent="0.25">
      <c r="A13" s="202">
        <f t="shared" si="4"/>
        <v>5</v>
      </c>
      <c r="B13" s="214" t="s">
        <v>258</v>
      </c>
      <c r="C13" s="186">
        <v>244</v>
      </c>
      <c r="D13" s="215">
        <f t="shared" si="0"/>
        <v>298412</v>
      </c>
      <c r="E13" s="216">
        <f t="shared" si="1"/>
        <v>65880</v>
      </c>
      <c r="F13" s="217">
        <f t="shared" si="2"/>
        <v>24400</v>
      </c>
      <c r="G13" s="217">
        <f t="shared" si="3"/>
        <v>4880</v>
      </c>
    </row>
    <row r="14" spans="1:9" ht="15.75" x14ac:dyDescent="0.25">
      <c r="A14" s="202">
        <f t="shared" si="4"/>
        <v>6</v>
      </c>
      <c r="B14" s="214" t="s">
        <v>259</v>
      </c>
      <c r="C14" s="186">
        <v>1637</v>
      </c>
      <c r="D14" s="215">
        <f t="shared" si="0"/>
        <v>2002051</v>
      </c>
      <c r="E14" s="216">
        <f t="shared" si="1"/>
        <v>441990</v>
      </c>
      <c r="F14" s="217">
        <f t="shared" si="2"/>
        <v>163700</v>
      </c>
      <c r="G14" s="217">
        <f t="shared" si="3"/>
        <v>32740</v>
      </c>
    </row>
    <row r="15" spans="1:9" ht="15.75" x14ac:dyDescent="0.25">
      <c r="A15" s="202">
        <f t="shared" si="4"/>
        <v>7</v>
      </c>
      <c r="B15" s="214" t="s">
        <v>260</v>
      </c>
      <c r="C15" s="186">
        <v>617</v>
      </c>
      <c r="D15" s="215">
        <f t="shared" si="0"/>
        <v>754591</v>
      </c>
      <c r="E15" s="216">
        <f t="shared" si="1"/>
        <v>166590</v>
      </c>
      <c r="F15" s="217">
        <f t="shared" si="2"/>
        <v>61700</v>
      </c>
      <c r="G15" s="217">
        <f t="shared" si="3"/>
        <v>12340</v>
      </c>
    </row>
    <row r="16" spans="1:9" ht="15.75" x14ac:dyDescent="0.25">
      <c r="A16" s="202">
        <f t="shared" si="4"/>
        <v>8</v>
      </c>
      <c r="B16" s="214" t="s">
        <v>261</v>
      </c>
      <c r="C16" s="186">
        <v>3159</v>
      </c>
      <c r="D16" s="215">
        <f t="shared" si="0"/>
        <v>3863457</v>
      </c>
      <c r="E16" s="216">
        <f t="shared" si="1"/>
        <v>852930</v>
      </c>
      <c r="F16" s="217">
        <f t="shared" si="2"/>
        <v>315900</v>
      </c>
      <c r="G16" s="217">
        <f t="shared" si="3"/>
        <v>63180</v>
      </c>
    </row>
    <row r="17" spans="1:11" s="271" customFormat="1" ht="15.75" x14ac:dyDescent="0.25">
      <c r="A17" s="271">
        <f t="shared" si="4"/>
        <v>9</v>
      </c>
      <c r="B17" s="214" t="s">
        <v>262</v>
      </c>
      <c r="C17" s="187">
        <v>3622</v>
      </c>
      <c r="D17" s="215">
        <f t="shared" si="0"/>
        <v>4429706</v>
      </c>
      <c r="E17" s="216">
        <f t="shared" si="1"/>
        <v>977940</v>
      </c>
      <c r="F17" s="216">
        <f t="shared" si="2"/>
        <v>362200</v>
      </c>
      <c r="G17" s="216">
        <f t="shared" si="3"/>
        <v>72440</v>
      </c>
      <c r="K17" s="272"/>
    </row>
    <row r="18" spans="1:11" s="271" customFormat="1" ht="15.75" x14ac:dyDescent="0.25">
      <c r="A18" s="271">
        <f t="shared" si="4"/>
        <v>10</v>
      </c>
      <c r="B18" s="214" t="s">
        <v>263</v>
      </c>
      <c r="C18" s="187">
        <v>1240</v>
      </c>
      <c r="D18" s="215">
        <f t="shared" si="0"/>
        <v>1516520</v>
      </c>
      <c r="E18" s="216">
        <f t="shared" si="1"/>
        <v>334800</v>
      </c>
      <c r="F18" s="216">
        <f t="shared" si="2"/>
        <v>124000</v>
      </c>
      <c r="G18" s="216">
        <f t="shared" si="3"/>
        <v>24800</v>
      </c>
      <c r="K18" s="272"/>
    </row>
    <row r="19" spans="1:11" ht="15.75" x14ac:dyDescent="0.25">
      <c r="A19" s="202">
        <f t="shared" si="4"/>
        <v>11</v>
      </c>
      <c r="B19" s="214" t="s">
        <v>264</v>
      </c>
      <c r="C19" s="186">
        <v>6171</v>
      </c>
      <c r="D19" s="215">
        <f t="shared" si="0"/>
        <v>7547133</v>
      </c>
      <c r="E19" s="216">
        <f t="shared" si="1"/>
        <v>1666170</v>
      </c>
      <c r="F19" s="217">
        <f t="shared" si="2"/>
        <v>617100</v>
      </c>
      <c r="G19" s="217">
        <f t="shared" si="3"/>
        <v>123420</v>
      </c>
      <c r="K19" s="218"/>
    </row>
    <row r="20" spans="1:11" ht="15.75" x14ac:dyDescent="0.25">
      <c r="A20" s="202">
        <f t="shared" si="4"/>
        <v>12</v>
      </c>
      <c r="B20" s="214" t="s">
        <v>265</v>
      </c>
      <c r="C20" s="187">
        <v>566</v>
      </c>
      <c r="D20" s="215">
        <f t="shared" si="0"/>
        <v>692218</v>
      </c>
      <c r="E20" s="216">
        <f t="shared" si="1"/>
        <v>152820</v>
      </c>
      <c r="F20" s="217">
        <f t="shared" si="2"/>
        <v>56600</v>
      </c>
      <c r="G20" s="217">
        <f t="shared" si="3"/>
        <v>11320</v>
      </c>
    </row>
    <row r="21" spans="1:11" ht="15.75" x14ac:dyDescent="0.25">
      <c r="A21" s="202">
        <f t="shared" si="4"/>
        <v>13</v>
      </c>
      <c r="B21" s="214" t="s">
        <v>266</v>
      </c>
      <c r="C21" s="186">
        <v>2283</v>
      </c>
      <c r="D21" s="215">
        <f t="shared" si="0"/>
        <v>2792109</v>
      </c>
      <c r="E21" s="216">
        <f t="shared" si="1"/>
        <v>616410</v>
      </c>
      <c r="F21" s="217">
        <f t="shared" si="2"/>
        <v>228300</v>
      </c>
      <c r="G21" s="217">
        <f t="shared" si="3"/>
        <v>45660</v>
      </c>
    </row>
    <row r="22" spans="1:11" ht="15.75" x14ac:dyDescent="0.25">
      <c r="A22" s="202">
        <f t="shared" si="4"/>
        <v>14</v>
      </c>
      <c r="B22" s="214" t="s">
        <v>267</v>
      </c>
      <c r="C22" s="186">
        <v>376</v>
      </c>
      <c r="D22" s="215">
        <f t="shared" si="0"/>
        <v>459848</v>
      </c>
      <c r="E22" s="216">
        <f t="shared" si="1"/>
        <v>101520</v>
      </c>
      <c r="F22" s="217">
        <f t="shared" si="2"/>
        <v>37600</v>
      </c>
      <c r="G22" s="217">
        <f t="shared" si="3"/>
        <v>7520</v>
      </c>
    </row>
    <row r="23" spans="1:11" ht="15.75" x14ac:dyDescent="0.25">
      <c r="A23" s="202">
        <f t="shared" si="4"/>
        <v>15</v>
      </c>
      <c r="B23" s="214" t="s">
        <v>268</v>
      </c>
      <c r="C23" s="186">
        <v>1972</v>
      </c>
      <c r="D23" s="215">
        <f t="shared" si="0"/>
        <v>2411756</v>
      </c>
      <c r="E23" s="216">
        <f t="shared" si="1"/>
        <v>532440</v>
      </c>
      <c r="F23" s="217">
        <f t="shared" si="2"/>
        <v>197200</v>
      </c>
      <c r="G23" s="217">
        <f t="shared" si="3"/>
        <v>39440</v>
      </c>
    </row>
    <row r="24" spans="1:11" ht="15.75" x14ac:dyDescent="0.25">
      <c r="A24" s="202">
        <f t="shared" si="4"/>
        <v>16</v>
      </c>
      <c r="B24" s="214" t="s">
        <v>269</v>
      </c>
      <c r="C24" s="186">
        <v>3290</v>
      </c>
      <c r="D24" s="215">
        <f t="shared" si="0"/>
        <v>4023670</v>
      </c>
      <c r="E24" s="216">
        <f t="shared" si="1"/>
        <v>888300</v>
      </c>
      <c r="F24" s="217">
        <f t="shared" si="2"/>
        <v>329000</v>
      </c>
      <c r="G24" s="217">
        <f t="shared" si="3"/>
        <v>65800</v>
      </c>
    </row>
    <row r="25" spans="1:11" ht="15.75" x14ac:dyDescent="0.25">
      <c r="A25" s="202">
        <f t="shared" si="4"/>
        <v>17</v>
      </c>
      <c r="B25" s="214" t="s">
        <v>270</v>
      </c>
      <c r="C25" s="186">
        <v>759</v>
      </c>
      <c r="D25" s="215">
        <f t="shared" si="0"/>
        <v>928257</v>
      </c>
      <c r="E25" s="216">
        <f t="shared" si="1"/>
        <v>204930</v>
      </c>
      <c r="F25" s="217">
        <f t="shared" si="2"/>
        <v>75900</v>
      </c>
      <c r="G25" s="217">
        <f t="shared" si="3"/>
        <v>15180</v>
      </c>
    </row>
    <row r="26" spans="1:11" ht="15.75" x14ac:dyDescent="0.25">
      <c r="A26" s="202">
        <f t="shared" si="4"/>
        <v>18</v>
      </c>
      <c r="B26" s="214" t="s">
        <v>271</v>
      </c>
      <c r="C26" s="186">
        <v>1996</v>
      </c>
      <c r="D26" s="215">
        <f t="shared" si="0"/>
        <v>2441108</v>
      </c>
      <c r="E26" s="216">
        <f t="shared" si="1"/>
        <v>538920</v>
      </c>
      <c r="F26" s="217">
        <f t="shared" si="2"/>
        <v>199600</v>
      </c>
      <c r="G26" s="217">
        <f t="shared" si="3"/>
        <v>39920</v>
      </c>
    </row>
    <row r="27" spans="1:11" ht="15.75" x14ac:dyDescent="0.25">
      <c r="A27" s="202">
        <f t="shared" si="4"/>
        <v>19</v>
      </c>
      <c r="B27" s="214" t="s">
        <v>272</v>
      </c>
      <c r="C27" s="186">
        <v>617</v>
      </c>
      <c r="D27" s="215">
        <f t="shared" si="0"/>
        <v>754591</v>
      </c>
      <c r="E27" s="216">
        <f t="shared" si="1"/>
        <v>166590</v>
      </c>
      <c r="F27" s="217">
        <f t="shared" si="2"/>
        <v>61700</v>
      </c>
      <c r="G27" s="217">
        <f t="shared" si="3"/>
        <v>12340</v>
      </c>
    </row>
    <row r="28" spans="1:11" ht="15.75" x14ac:dyDescent="0.25">
      <c r="A28" s="202">
        <f t="shared" si="4"/>
        <v>20</v>
      </c>
      <c r="B28" s="214" t="s">
        <v>273</v>
      </c>
      <c r="C28" s="186">
        <v>32539</v>
      </c>
      <c r="D28" s="215">
        <f t="shared" si="0"/>
        <v>39795197</v>
      </c>
      <c r="E28" s="216">
        <f t="shared" si="1"/>
        <v>8785530</v>
      </c>
      <c r="F28" s="217">
        <f t="shared" si="2"/>
        <v>3253900</v>
      </c>
      <c r="G28" s="217">
        <f t="shared" si="3"/>
        <v>650780</v>
      </c>
    </row>
    <row r="29" spans="1:11" ht="15.75" x14ac:dyDescent="0.25">
      <c r="A29" s="202">
        <f t="shared" si="4"/>
        <v>21</v>
      </c>
      <c r="B29" s="214" t="s">
        <v>274</v>
      </c>
      <c r="C29" s="186">
        <v>2485</v>
      </c>
      <c r="D29" s="215">
        <f t="shared" si="0"/>
        <v>3039155</v>
      </c>
      <c r="E29" s="216">
        <f t="shared" si="1"/>
        <v>670950</v>
      </c>
      <c r="F29" s="217">
        <f t="shared" si="2"/>
        <v>248500</v>
      </c>
      <c r="G29" s="217">
        <f t="shared" si="3"/>
        <v>49700</v>
      </c>
      <c r="H29" s="273"/>
    </row>
    <row r="30" spans="1:11" ht="15.75" x14ac:dyDescent="0.25">
      <c r="A30" s="202">
        <f t="shared" si="4"/>
        <v>22</v>
      </c>
      <c r="B30" s="214" t="s">
        <v>275</v>
      </c>
      <c r="C30" s="186">
        <v>1778</v>
      </c>
      <c r="D30" s="215">
        <f t="shared" si="0"/>
        <v>2174494</v>
      </c>
      <c r="E30" s="216">
        <f t="shared" si="1"/>
        <v>480060</v>
      </c>
      <c r="F30" s="217">
        <f t="shared" si="2"/>
        <v>177800</v>
      </c>
      <c r="G30" s="217">
        <f t="shared" si="3"/>
        <v>35560</v>
      </c>
    </row>
    <row r="31" spans="1:11" ht="15.75" x14ac:dyDescent="0.25">
      <c r="A31" s="202">
        <f t="shared" si="4"/>
        <v>23</v>
      </c>
      <c r="B31" s="214" t="s">
        <v>276</v>
      </c>
      <c r="C31" s="186">
        <v>452</v>
      </c>
      <c r="D31" s="215">
        <f t="shared" si="0"/>
        <v>552796</v>
      </c>
      <c r="E31" s="216">
        <f t="shared" si="1"/>
        <v>122040</v>
      </c>
      <c r="F31" s="217">
        <f t="shared" si="2"/>
        <v>45200</v>
      </c>
      <c r="G31" s="217">
        <f t="shared" si="3"/>
        <v>9040</v>
      </c>
    </row>
    <row r="32" spans="1:11" ht="15.75" x14ac:dyDescent="0.25">
      <c r="A32" s="202">
        <f t="shared" si="4"/>
        <v>24</v>
      </c>
      <c r="B32" s="214" t="s">
        <v>277</v>
      </c>
      <c r="C32" s="186">
        <v>636</v>
      </c>
      <c r="D32" s="215">
        <f t="shared" si="0"/>
        <v>777828</v>
      </c>
      <c r="E32" s="216">
        <f t="shared" si="1"/>
        <v>171720</v>
      </c>
      <c r="F32" s="217">
        <f t="shared" si="2"/>
        <v>63600</v>
      </c>
      <c r="G32" s="217">
        <f t="shared" si="3"/>
        <v>12720</v>
      </c>
    </row>
    <row r="33" spans="1:8" ht="15.75" x14ac:dyDescent="0.25">
      <c r="A33" s="202">
        <f t="shared" si="4"/>
        <v>25</v>
      </c>
      <c r="B33" s="214" t="s">
        <v>278</v>
      </c>
      <c r="C33" s="186">
        <v>3374</v>
      </c>
      <c r="D33" s="215">
        <f t="shared" si="0"/>
        <v>4126402</v>
      </c>
      <c r="E33" s="216">
        <f t="shared" si="1"/>
        <v>910980</v>
      </c>
      <c r="F33" s="217">
        <f t="shared" si="2"/>
        <v>337400</v>
      </c>
      <c r="G33" s="217">
        <f t="shared" si="3"/>
        <v>67480</v>
      </c>
    </row>
    <row r="34" spans="1:8" ht="15.75" x14ac:dyDescent="0.25">
      <c r="A34" s="202">
        <f t="shared" si="4"/>
        <v>26</v>
      </c>
      <c r="B34" s="214" t="s">
        <v>279</v>
      </c>
      <c r="C34" s="186">
        <v>869</v>
      </c>
      <c r="D34" s="215">
        <f t="shared" si="0"/>
        <v>1062787</v>
      </c>
      <c r="E34" s="216">
        <f t="shared" si="1"/>
        <v>234630</v>
      </c>
      <c r="F34" s="217">
        <f t="shared" si="2"/>
        <v>86900</v>
      </c>
      <c r="G34" s="217">
        <f t="shared" si="3"/>
        <v>17380</v>
      </c>
    </row>
    <row r="35" spans="1:8" ht="15.75" x14ac:dyDescent="0.25">
      <c r="A35" s="202">
        <f t="shared" si="4"/>
        <v>27</v>
      </c>
      <c r="B35" s="214" t="s">
        <v>280</v>
      </c>
      <c r="C35" s="186">
        <v>404</v>
      </c>
      <c r="D35" s="215">
        <f t="shared" si="0"/>
        <v>494092</v>
      </c>
      <c r="E35" s="216">
        <f t="shared" si="1"/>
        <v>109080</v>
      </c>
      <c r="F35" s="217">
        <f t="shared" si="2"/>
        <v>40400</v>
      </c>
      <c r="G35" s="217">
        <f t="shared" si="3"/>
        <v>8080</v>
      </c>
    </row>
    <row r="36" spans="1:8" ht="15.75" x14ac:dyDescent="0.25">
      <c r="B36" s="219"/>
      <c r="C36" s="220"/>
      <c r="D36" s="221"/>
      <c r="E36" s="222"/>
    </row>
    <row r="37" spans="1:8" ht="15.75" x14ac:dyDescent="0.25">
      <c r="B37" s="219" t="s">
        <v>70</v>
      </c>
      <c r="C37" s="223">
        <f>SUM(C9:C35)</f>
        <v>78043</v>
      </c>
      <c r="D37" s="224">
        <f>SUM(D9:D36)</f>
        <v>95446589</v>
      </c>
      <c r="E37" s="204">
        <f>SUM(E9:E36)</f>
        <v>21071610</v>
      </c>
      <c r="F37" s="204">
        <f>SUM(F9:F36)</f>
        <v>7804300</v>
      </c>
      <c r="G37" s="204">
        <f>SUM(G9:G36)</f>
        <v>1560860</v>
      </c>
    </row>
    <row r="38" spans="1:8" ht="15.75" x14ac:dyDescent="0.25">
      <c r="B38" s="203"/>
      <c r="C38" s="203"/>
      <c r="D38" s="203"/>
      <c r="E38" s="203"/>
    </row>
    <row r="39" spans="1:8" ht="15.75" x14ac:dyDescent="0.25">
      <c r="B39" s="203"/>
      <c r="C39" s="220"/>
      <c r="D39" s="203" t="s">
        <v>324</v>
      </c>
      <c r="E39" s="203" t="s">
        <v>324</v>
      </c>
    </row>
    <row r="40" spans="1:8" ht="15.75" customHeight="1" x14ac:dyDescent="0.25">
      <c r="B40" s="208"/>
      <c r="C40" s="209" t="s">
        <v>251</v>
      </c>
      <c r="D40" s="266" t="s">
        <v>325</v>
      </c>
      <c r="E40" s="264" t="s">
        <v>326</v>
      </c>
      <c r="F40" s="267" t="s">
        <v>327</v>
      </c>
    </row>
    <row r="41" spans="1:8" ht="15.75" x14ac:dyDescent="0.25">
      <c r="B41" s="211" t="s">
        <v>253</v>
      </c>
      <c r="C41" s="212">
        <v>43101</v>
      </c>
      <c r="D41" s="266"/>
      <c r="E41" s="265"/>
      <c r="F41" s="267"/>
    </row>
    <row r="42" spans="1:8" ht="15.75" x14ac:dyDescent="0.25">
      <c r="B42" s="214" t="s">
        <v>254</v>
      </c>
      <c r="C42" s="186">
        <v>2013</v>
      </c>
      <c r="D42" s="217">
        <f>C9*10</f>
        <v>20130</v>
      </c>
      <c r="E42" s="217">
        <f>C9*100</f>
        <v>201300</v>
      </c>
      <c r="F42" s="225">
        <f>SUM(D9:G9,D42:E42)</f>
        <v>3468399</v>
      </c>
      <c r="G42" s="226"/>
      <c r="H42" s="227"/>
    </row>
    <row r="43" spans="1:8" ht="15.75" x14ac:dyDescent="0.25">
      <c r="B43" s="214" t="s">
        <v>255</v>
      </c>
      <c r="C43" s="186">
        <v>1426</v>
      </c>
      <c r="D43" s="217">
        <f t="shared" ref="D43:D68" si="5">C10*10</f>
        <v>14260</v>
      </c>
      <c r="E43" s="217">
        <f t="shared" ref="E43:E68" si="6">C10*100</f>
        <v>142600</v>
      </c>
      <c r="F43" s="225">
        <f t="shared" ref="F43:F68" si="7">SUM(D10:G10,D43:E43)</f>
        <v>2456998</v>
      </c>
      <c r="G43" s="226"/>
      <c r="H43" s="227"/>
    </row>
    <row r="44" spans="1:8" ht="15.75" x14ac:dyDescent="0.25">
      <c r="B44" s="214" t="s">
        <v>256</v>
      </c>
      <c r="C44" s="186">
        <v>1563</v>
      </c>
      <c r="D44" s="217">
        <f t="shared" si="5"/>
        <v>15630</v>
      </c>
      <c r="E44" s="217">
        <f t="shared" si="6"/>
        <v>156300</v>
      </c>
      <c r="F44" s="225">
        <f t="shared" si="7"/>
        <v>2693049</v>
      </c>
      <c r="G44" s="226"/>
      <c r="H44" s="227"/>
    </row>
    <row r="45" spans="1:8" ht="15.75" x14ac:dyDescent="0.25">
      <c r="B45" s="214" t="s">
        <v>257</v>
      </c>
      <c r="C45" s="186">
        <v>1955</v>
      </c>
      <c r="D45" s="217">
        <f t="shared" si="5"/>
        <v>19550</v>
      </c>
      <c r="E45" s="217">
        <f t="shared" si="6"/>
        <v>195500</v>
      </c>
      <c r="F45" s="225">
        <f t="shared" si="7"/>
        <v>3368465</v>
      </c>
      <c r="G45" s="226"/>
      <c r="H45" s="227"/>
    </row>
    <row r="46" spans="1:8" ht="15.75" x14ac:dyDescent="0.25">
      <c r="B46" s="214" t="s">
        <v>258</v>
      </c>
      <c r="C46" s="186">
        <v>244</v>
      </c>
      <c r="D46" s="217">
        <f t="shared" si="5"/>
        <v>2440</v>
      </c>
      <c r="E46" s="217">
        <f t="shared" si="6"/>
        <v>24400</v>
      </c>
      <c r="F46" s="225">
        <f t="shared" si="7"/>
        <v>420412</v>
      </c>
      <c r="G46" s="226"/>
      <c r="H46" s="227"/>
    </row>
    <row r="47" spans="1:8" ht="15.75" x14ac:dyDescent="0.25">
      <c r="B47" s="214" t="s">
        <v>259</v>
      </c>
      <c r="C47" s="186">
        <v>1637</v>
      </c>
      <c r="D47" s="217">
        <f t="shared" si="5"/>
        <v>16370</v>
      </c>
      <c r="E47" s="217">
        <f t="shared" si="6"/>
        <v>163700</v>
      </c>
      <c r="F47" s="225">
        <f t="shared" si="7"/>
        <v>2820551</v>
      </c>
      <c r="G47" s="226"/>
      <c r="H47" s="227"/>
    </row>
    <row r="48" spans="1:8" ht="15.75" x14ac:dyDescent="0.25">
      <c r="B48" s="214" t="s">
        <v>260</v>
      </c>
      <c r="C48" s="186">
        <v>617</v>
      </c>
      <c r="D48" s="217">
        <f t="shared" si="5"/>
        <v>6170</v>
      </c>
      <c r="E48" s="217">
        <f t="shared" si="6"/>
        <v>61700</v>
      </c>
      <c r="F48" s="225">
        <f t="shared" si="7"/>
        <v>1063091</v>
      </c>
      <c r="G48" s="226"/>
      <c r="H48" s="227"/>
    </row>
    <row r="49" spans="2:8" ht="15.75" x14ac:dyDescent="0.25">
      <c r="B49" s="214" t="s">
        <v>261</v>
      </c>
      <c r="C49" s="186">
        <v>3159</v>
      </c>
      <c r="D49" s="217">
        <f t="shared" si="5"/>
        <v>31590</v>
      </c>
      <c r="E49" s="217">
        <f t="shared" si="6"/>
        <v>315900</v>
      </c>
      <c r="F49" s="225">
        <f t="shared" si="7"/>
        <v>5442957</v>
      </c>
      <c r="G49" s="226"/>
      <c r="H49" s="227"/>
    </row>
    <row r="50" spans="2:8" s="271" customFormat="1" ht="15.75" x14ac:dyDescent="0.25">
      <c r="B50" s="214" t="s">
        <v>262</v>
      </c>
      <c r="C50" s="187">
        <v>3622</v>
      </c>
      <c r="D50" s="216">
        <f t="shared" si="5"/>
        <v>36220</v>
      </c>
      <c r="E50" s="216">
        <f t="shared" si="6"/>
        <v>362200</v>
      </c>
      <c r="F50" s="268">
        <f t="shared" si="7"/>
        <v>6240706</v>
      </c>
      <c r="G50" s="269"/>
      <c r="H50" s="270"/>
    </row>
    <row r="51" spans="2:8" s="271" customFormat="1" ht="15.75" x14ac:dyDescent="0.25">
      <c r="B51" s="214" t="s">
        <v>263</v>
      </c>
      <c r="C51" s="187">
        <v>1240</v>
      </c>
      <c r="D51" s="216">
        <f t="shared" si="5"/>
        <v>12400</v>
      </c>
      <c r="E51" s="216">
        <f t="shared" si="6"/>
        <v>124000</v>
      </c>
      <c r="F51" s="268">
        <f t="shared" si="7"/>
        <v>2136520</v>
      </c>
      <c r="G51" s="269"/>
      <c r="H51" s="270"/>
    </row>
    <row r="52" spans="2:8" ht="15.75" x14ac:dyDescent="0.25">
      <c r="B52" s="214" t="s">
        <v>264</v>
      </c>
      <c r="C52" s="186">
        <v>6171</v>
      </c>
      <c r="D52" s="217">
        <f t="shared" si="5"/>
        <v>61710</v>
      </c>
      <c r="E52" s="217">
        <f t="shared" si="6"/>
        <v>617100</v>
      </c>
      <c r="F52" s="225">
        <f t="shared" si="7"/>
        <v>10632633</v>
      </c>
      <c r="G52" s="226"/>
      <c r="H52" s="227"/>
    </row>
    <row r="53" spans="2:8" ht="15.75" x14ac:dyDescent="0.25">
      <c r="B53" s="214" t="s">
        <v>265</v>
      </c>
      <c r="C53" s="187">
        <v>566</v>
      </c>
      <c r="D53" s="217">
        <f t="shared" si="5"/>
        <v>5660</v>
      </c>
      <c r="E53" s="217">
        <f t="shared" si="6"/>
        <v>56600</v>
      </c>
      <c r="F53" s="225">
        <f t="shared" si="7"/>
        <v>975218</v>
      </c>
      <c r="G53" s="226"/>
      <c r="H53" s="227"/>
    </row>
    <row r="54" spans="2:8" ht="15.75" x14ac:dyDescent="0.25">
      <c r="B54" s="214" t="s">
        <v>266</v>
      </c>
      <c r="C54" s="186">
        <v>2283</v>
      </c>
      <c r="D54" s="217">
        <f t="shared" si="5"/>
        <v>22830</v>
      </c>
      <c r="E54" s="217">
        <f t="shared" si="6"/>
        <v>228300</v>
      </c>
      <c r="F54" s="225">
        <f t="shared" si="7"/>
        <v>3933609</v>
      </c>
      <c r="G54" s="226"/>
      <c r="H54" s="227"/>
    </row>
    <row r="55" spans="2:8" ht="15.75" x14ac:dyDescent="0.25">
      <c r="B55" s="214" t="s">
        <v>267</v>
      </c>
      <c r="C55" s="186">
        <v>376</v>
      </c>
      <c r="D55" s="217">
        <f t="shared" si="5"/>
        <v>3760</v>
      </c>
      <c r="E55" s="217">
        <f t="shared" si="6"/>
        <v>37600</v>
      </c>
      <c r="F55" s="225">
        <f t="shared" si="7"/>
        <v>647848</v>
      </c>
      <c r="G55" s="226"/>
      <c r="H55" s="227"/>
    </row>
    <row r="56" spans="2:8" ht="15.75" x14ac:dyDescent="0.25">
      <c r="B56" s="214" t="s">
        <v>268</v>
      </c>
      <c r="C56" s="186">
        <v>1972</v>
      </c>
      <c r="D56" s="217">
        <f t="shared" si="5"/>
        <v>19720</v>
      </c>
      <c r="E56" s="217">
        <f t="shared" si="6"/>
        <v>197200</v>
      </c>
      <c r="F56" s="225">
        <f t="shared" si="7"/>
        <v>3397756</v>
      </c>
      <c r="G56" s="226"/>
      <c r="H56" s="227"/>
    </row>
    <row r="57" spans="2:8" ht="15.75" x14ac:dyDescent="0.25">
      <c r="B57" s="214" t="s">
        <v>269</v>
      </c>
      <c r="C57" s="186">
        <v>3290</v>
      </c>
      <c r="D57" s="217">
        <f t="shared" si="5"/>
        <v>32900</v>
      </c>
      <c r="E57" s="217">
        <f t="shared" si="6"/>
        <v>329000</v>
      </c>
      <c r="F57" s="225">
        <f t="shared" si="7"/>
        <v>5668670</v>
      </c>
      <c r="G57" s="226"/>
      <c r="H57" s="227"/>
    </row>
    <row r="58" spans="2:8" ht="15.75" x14ac:dyDescent="0.25">
      <c r="B58" s="214" t="s">
        <v>270</v>
      </c>
      <c r="C58" s="186">
        <v>759</v>
      </c>
      <c r="D58" s="217">
        <f t="shared" si="5"/>
        <v>7590</v>
      </c>
      <c r="E58" s="217">
        <f t="shared" si="6"/>
        <v>75900</v>
      </c>
      <c r="F58" s="225">
        <f t="shared" si="7"/>
        <v>1307757</v>
      </c>
      <c r="G58" s="226"/>
      <c r="H58" s="227"/>
    </row>
    <row r="59" spans="2:8" ht="15.75" x14ac:dyDescent="0.25">
      <c r="B59" s="214" t="s">
        <v>271</v>
      </c>
      <c r="C59" s="186">
        <v>1996</v>
      </c>
      <c r="D59" s="217">
        <f t="shared" si="5"/>
        <v>19960</v>
      </c>
      <c r="E59" s="217">
        <f t="shared" si="6"/>
        <v>199600</v>
      </c>
      <c r="F59" s="225">
        <f t="shared" si="7"/>
        <v>3439108</v>
      </c>
      <c r="G59" s="226"/>
      <c r="H59" s="227"/>
    </row>
    <row r="60" spans="2:8" ht="15.75" x14ac:dyDescent="0.25">
      <c r="B60" s="214" t="s">
        <v>272</v>
      </c>
      <c r="C60" s="186">
        <v>617</v>
      </c>
      <c r="D60" s="217">
        <f t="shared" si="5"/>
        <v>6170</v>
      </c>
      <c r="E60" s="217">
        <f t="shared" si="6"/>
        <v>61700</v>
      </c>
      <c r="F60" s="225">
        <f t="shared" si="7"/>
        <v>1063091</v>
      </c>
      <c r="G60" s="226"/>
      <c r="H60" s="227"/>
    </row>
    <row r="61" spans="2:8" ht="15.75" x14ac:dyDescent="0.25">
      <c r="B61" s="214" t="s">
        <v>273</v>
      </c>
      <c r="C61" s="186">
        <v>32539</v>
      </c>
      <c r="D61" s="217">
        <f t="shared" si="5"/>
        <v>325390</v>
      </c>
      <c r="E61" s="217">
        <f t="shared" si="6"/>
        <v>3253900</v>
      </c>
      <c r="F61" s="225">
        <f t="shared" si="7"/>
        <v>56064697</v>
      </c>
      <c r="G61" s="226"/>
      <c r="H61" s="227"/>
    </row>
    <row r="62" spans="2:8" ht="15.75" x14ac:dyDescent="0.25">
      <c r="B62" s="214" t="s">
        <v>274</v>
      </c>
      <c r="C62" s="186">
        <v>2485</v>
      </c>
      <c r="D62" s="217">
        <f t="shared" si="5"/>
        <v>24850</v>
      </c>
      <c r="E62" s="217">
        <f t="shared" si="6"/>
        <v>248500</v>
      </c>
      <c r="F62" s="225">
        <f t="shared" si="7"/>
        <v>4281655</v>
      </c>
      <c r="G62" s="226"/>
      <c r="H62" s="227"/>
    </row>
    <row r="63" spans="2:8" ht="15.75" x14ac:dyDescent="0.25">
      <c r="B63" s="214" t="s">
        <v>275</v>
      </c>
      <c r="C63" s="186">
        <v>1778</v>
      </c>
      <c r="D63" s="217">
        <f t="shared" si="5"/>
        <v>17780</v>
      </c>
      <c r="E63" s="217">
        <f t="shared" si="6"/>
        <v>177800</v>
      </c>
      <c r="F63" s="225">
        <f t="shared" si="7"/>
        <v>3063494</v>
      </c>
      <c r="G63" s="226"/>
      <c r="H63" s="227"/>
    </row>
    <row r="64" spans="2:8" ht="15.75" x14ac:dyDescent="0.25">
      <c r="B64" s="214" t="s">
        <v>276</v>
      </c>
      <c r="C64" s="186">
        <v>452</v>
      </c>
      <c r="D64" s="217">
        <f t="shared" si="5"/>
        <v>4520</v>
      </c>
      <c r="E64" s="217">
        <f t="shared" si="6"/>
        <v>45200</v>
      </c>
      <c r="F64" s="225">
        <f t="shared" si="7"/>
        <v>778796</v>
      </c>
      <c r="G64" s="226"/>
      <c r="H64" s="227"/>
    </row>
    <row r="65" spans="2:9" ht="15.75" x14ac:dyDescent="0.25">
      <c r="B65" s="214" t="s">
        <v>277</v>
      </c>
      <c r="C65" s="186">
        <v>636</v>
      </c>
      <c r="D65" s="217">
        <f t="shared" si="5"/>
        <v>6360</v>
      </c>
      <c r="E65" s="217">
        <f t="shared" si="6"/>
        <v>63600</v>
      </c>
      <c r="F65" s="225">
        <f t="shared" si="7"/>
        <v>1095828</v>
      </c>
      <c r="G65" s="226"/>
      <c r="H65" s="227"/>
    </row>
    <row r="66" spans="2:9" ht="15.75" x14ac:dyDescent="0.25">
      <c r="B66" s="214" t="s">
        <v>278</v>
      </c>
      <c r="C66" s="186">
        <v>3374</v>
      </c>
      <c r="D66" s="217">
        <f t="shared" si="5"/>
        <v>33740</v>
      </c>
      <c r="E66" s="217">
        <f t="shared" si="6"/>
        <v>337400</v>
      </c>
      <c r="F66" s="225">
        <f t="shared" si="7"/>
        <v>5813402</v>
      </c>
      <c r="G66" s="226"/>
      <c r="H66" s="227"/>
    </row>
    <row r="67" spans="2:9" ht="15.75" x14ac:dyDescent="0.25">
      <c r="B67" s="214" t="s">
        <v>279</v>
      </c>
      <c r="C67" s="186">
        <v>869</v>
      </c>
      <c r="D67" s="217">
        <f t="shared" si="5"/>
        <v>8690</v>
      </c>
      <c r="E67" s="217">
        <f t="shared" si="6"/>
        <v>86900</v>
      </c>
      <c r="F67" s="225">
        <f t="shared" si="7"/>
        <v>1497287</v>
      </c>
      <c r="G67" s="226"/>
      <c r="H67" s="227"/>
    </row>
    <row r="68" spans="2:9" ht="15.75" x14ac:dyDescent="0.25">
      <c r="B68" s="214" t="s">
        <v>280</v>
      </c>
      <c r="C68" s="186">
        <v>404</v>
      </c>
      <c r="D68" s="217">
        <f t="shared" si="5"/>
        <v>4040</v>
      </c>
      <c r="E68" s="217">
        <f t="shared" si="6"/>
        <v>40400</v>
      </c>
      <c r="F68" s="225">
        <f t="shared" si="7"/>
        <v>696092</v>
      </c>
      <c r="G68" s="226"/>
      <c r="H68" s="227"/>
    </row>
    <row r="69" spans="2:9" x14ac:dyDescent="0.25">
      <c r="F69" s="228"/>
      <c r="G69" s="229"/>
    </row>
    <row r="70" spans="2:9" ht="15.75" x14ac:dyDescent="0.25">
      <c r="C70" s="230">
        <f>SUM(C42:C68)</f>
        <v>78043</v>
      </c>
      <c r="D70" s="204">
        <f t="shared" ref="D70:E70" si="8">SUM(D42:D69)</f>
        <v>780430</v>
      </c>
      <c r="E70" s="204">
        <f t="shared" si="8"/>
        <v>7804300</v>
      </c>
      <c r="F70" s="232">
        <f>SUM(F42:F68)</f>
        <v>134468089</v>
      </c>
      <c r="G70" s="231"/>
      <c r="H70" s="230"/>
      <c r="I70" s="230"/>
    </row>
  </sheetData>
  <mergeCells count="7">
    <mergeCell ref="B2:G2"/>
    <mergeCell ref="E7:E8"/>
    <mergeCell ref="F7:F8"/>
    <mergeCell ref="G7:G8"/>
    <mergeCell ref="D40:D41"/>
    <mergeCell ref="E40:E41"/>
    <mergeCell ref="F40:F41"/>
  </mergeCells>
  <pageMargins left="0.70866141732283472" right="0.70866141732283472" top="0.74803149606299213" bottom="0.74803149606299213" header="0.31496062992125984" footer="0.31496062992125984"/>
  <pageSetup paperSize="8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1_</vt:lpstr>
      <vt:lpstr>2A</vt:lpstr>
      <vt:lpstr>2B</vt:lpstr>
      <vt:lpstr>2C</vt:lpstr>
      <vt:lpstr>2D</vt:lpstr>
      <vt:lpstr>3</vt:lpstr>
      <vt:lpstr>4</vt:lpstr>
      <vt:lpstr>5</vt:lpstr>
      <vt:lpstr>6</vt:lpstr>
      <vt:lpstr>7</vt:lpstr>
      <vt:lpstr>8</vt:lpstr>
      <vt:lpstr>9</vt:lpstr>
      <vt:lpstr>tagdíjak (2)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Kisfaludy Zsuzsanna</cp:lastModifiedBy>
  <cp:lastPrinted>2019-02-20T07:37:34Z</cp:lastPrinted>
  <dcterms:created xsi:type="dcterms:W3CDTF">2013-02-08T06:54:51Z</dcterms:created>
  <dcterms:modified xsi:type="dcterms:W3CDTF">2019-02-27T09:27:15Z</dcterms:modified>
</cp:coreProperties>
</file>