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275" windowWidth="7695" windowHeight="1770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4 sz. melléklet" sheetId="17" r:id="rId7"/>
  </sheets>
  <externalReferences>
    <externalReference r:id="rId8"/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D46" i="3" l="1"/>
  <c r="D53" i="3"/>
  <c r="C38" i="4"/>
  <c r="C44" i="4"/>
  <c r="E53" i="3" l="1"/>
  <c r="C45" i="4"/>
  <c r="D44" i="4"/>
  <c r="C36" i="4"/>
  <c r="D44" i="3"/>
  <c r="D43" i="3"/>
  <c r="D42" i="3"/>
  <c r="D41" i="3"/>
  <c r="D40" i="3"/>
  <c r="D39" i="3"/>
  <c r="D38" i="3"/>
  <c r="D54" i="3" l="1"/>
  <c r="E35" i="15" l="1"/>
  <c r="H35" i="15" s="1"/>
  <c r="G35" i="15"/>
  <c r="B34" i="15"/>
  <c r="D34" i="15"/>
  <c r="G34" i="15"/>
  <c r="D33" i="15"/>
  <c r="G33" i="15"/>
  <c r="B28" i="15"/>
  <c r="B27" i="15"/>
  <c r="B26" i="15" l="1"/>
  <c r="F20" i="15"/>
  <c r="C20" i="15"/>
  <c r="B20" i="15"/>
  <c r="E19" i="15"/>
  <c r="D19" i="15"/>
  <c r="C19" i="15"/>
  <c r="B19" i="15"/>
  <c r="E18" i="15"/>
  <c r="D18" i="15"/>
  <c r="C18" i="15"/>
  <c r="B18" i="15"/>
  <c r="G13" i="15"/>
  <c r="F13" i="15"/>
  <c r="D13" i="15"/>
  <c r="C13" i="15"/>
  <c r="B13" i="15"/>
  <c r="E12" i="15"/>
  <c r="D12" i="15"/>
  <c r="C12" i="15"/>
  <c r="B12" i="15"/>
  <c r="E11" i="15"/>
  <c r="D11" i="15"/>
  <c r="C11" i="15"/>
  <c r="B11" i="15"/>
  <c r="H24" i="2"/>
  <c r="F32" i="2"/>
  <c r="F28" i="2"/>
  <c r="F26" i="2"/>
  <c r="F24" i="2"/>
  <c r="G24" i="2" s="1"/>
  <c r="H13" i="2" l="1"/>
  <c r="E13" i="2" l="1"/>
  <c r="D21" i="2" l="1"/>
  <c r="D32" i="2" l="1"/>
  <c r="E32" i="2"/>
  <c r="C32" i="2"/>
  <c r="C28" i="2"/>
  <c r="C26" i="2"/>
  <c r="C24" i="2"/>
  <c r="G14" i="2"/>
  <c r="H21" i="2"/>
  <c r="H18" i="2"/>
  <c r="F21" i="2"/>
  <c r="F18" i="2"/>
  <c r="F15" i="2"/>
  <c r="F14" i="2"/>
  <c r="F13" i="2"/>
  <c r="F12" i="2"/>
  <c r="F11" i="2"/>
  <c r="C12" i="2"/>
  <c r="C21" i="2"/>
  <c r="C18" i="2"/>
  <c r="C15" i="2"/>
  <c r="C14" i="2"/>
  <c r="C13" i="2"/>
  <c r="D13" i="2" s="1"/>
  <c r="E18" i="2"/>
  <c r="E12" i="2"/>
  <c r="E15" i="2"/>
  <c r="E11" i="2"/>
  <c r="C11" i="2"/>
  <c r="E29" i="17" l="1"/>
  <c r="D29" i="17"/>
  <c r="C29" i="17"/>
  <c r="B29" i="17"/>
  <c r="E17" i="17"/>
  <c r="D17" i="17"/>
  <c r="C17" i="17"/>
  <c r="B17" i="17"/>
  <c r="D13" i="17"/>
  <c r="C13" i="17"/>
  <c r="B13" i="17"/>
  <c r="G43" i="15"/>
  <c r="F43" i="15"/>
  <c r="B43" i="15"/>
  <c r="C42" i="15"/>
  <c r="C41" i="15"/>
  <c r="C40" i="15"/>
  <c r="C43" i="15" s="1"/>
  <c r="F36" i="15"/>
  <c r="D36" i="15"/>
  <c r="C36" i="15"/>
  <c r="G36" i="15"/>
  <c r="B35" i="15"/>
  <c r="B33" i="15"/>
  <c r="B36" i="15" s="1"/>
  <c r="H28" i="15"/>
  <c r="G29" i="15"/>
  <c r="F29" i="15"/>
  <c r="D29" i="15"/>
  <c r="C29" i="15"/>
  <c r="H26" i="15"/>
  <c r="G21" i="15"/>
  <c r="F21" i="15"/>
  <c r="E21" i="15"/>
  <c r="D21" i="15"/>
  <c r="C21" i="15"/>
  <c r="B21" i="15"/>
  <c r="H20" i="15"/>
  <c r="G20" i="15"/>
  <c r="D20" i="15"/>
  <c r="H19" i="15"/>
  <c r="G18" i="15"/>
  <c r="F18" i="15"/>
  <c r="H18" i="15" s="1"/>
  <c r="G14" i="15"/>
  <c r="F14" i="15"/>
  <c r="H13" i="15"/>
  <c r="H12" i="15"/>
  <c r="E14" i="15"/>
  <c r="D14" i="15"/>
  <c r="C14" i="15"/>
  <c r="B14" i="15"/>
  <c r="C34" i="5"/>
  <c r="B34" i="5"/>
  <c r="C32" i="5"/>
  <c r="B32" i="5"/>
  <c r="C22" i="5"/>
  <c r="B22" i="5"/>
  <c r="C20" i="5"/>
  <c r="B20" i="5"/>
  <c r="D43" i="4"/>
  <c r="D42" i="4"/>
  <c r="D41" i="4"/>
  <c r="D40" i="4"/>
  <c r="B39" i="4"/>
  <c r="D39" i="4" s="1"/>
  <c r="B38" i="4"/>
  <c r="D38" i="4" s="1"/>
  <c r="D45" i="4" s="1"/>
  <c r="B37" i="4"/>
  <c r="D36" i="4"/>
  <c r="B36" i="4"/>
  <c r="D34" i="4"/>
  <c r="C30" i="4"/>
  <c r="B30" i="4"/>
  <c r="C28" i="4"/>
  <c r="B28" i="4"/>
  <c r="C19" i="4"/>
  <c r="B19" i="4"/>
  <c r="C18" i="4"/>
  <c r="B18" i="4"/>
  <c r="E52" i="3"/>
  <c r="E51" i="3"/>
  <c r="E50" i="3"/>
  <c r="E49" i="3"/>
  <c r="D49" i="3"/>
  <c r="C49" i="3"/>
  <c r="C48" i="3"/>
  <c r="E48" i="3" s="1"/>
  <c r="D47" i="3"/>
  <c r="C47" i="3"/>
  <c r="C46" i="3"/>
  <c r="E46" i="3" s="1"/>
  <c r="E54" i="3" s="1"/>
  <c r="B46" i="3"/>
  <c r="D45" i="3"/>
  <c r="C45" i="3"/>
  <c r="B45" i="3"/>
  <c r="C44" i="3"/>
  <c r="B44" i="3"/>
  <c r="C43" i="3"/>
  <c r="B43" i="3"/>
  <c r="C42" i="3"/>
  <c r="B42" i="3"/>
  <c r="C41" i="3"/>
  <c r="B41" i="3"/>
  <c r="C40" i="3"/>
  <c r="B40" i="3"/>
  <c r="C39" i="3"/>
  <c r="E39" i="3" s="1"/>
  <c r="B39" i="3"/>
  <c r="C38" i="3"/>
  <c r="B38" i="3"/>
  <c r="D33" i="3"/>
  <c r="C33" i="3"/>
  <c r="B33" i="3"/>
  <c r="D30" i="3"/>
  <c r="C30" i="3"/>
  <c r="B30" i="3"/>
  <c r="B28" i="3"/>
  <c r="B26" i="3"/>
  <c r="D21" i="3"/>
  <c r="C21" i="3"/>
  <c r="B21" i="3"/>
  <c r="D19" i="3"/>
  <c r="C19" i="3"/>
  <c r="B19" i="3"/>
  <c r="B14" i="3"/>
  <c r="G32" i="2"/>
  <c r="H30" i="2"/>
  <c r="G30" i="2" s="1"/>
  <c r="C30" i="2"/>
  <c r="D30" i="2" s="1"/>
  <c r="G28" i="2"/>
  <c r="B28" i="2"/>
  <c r="G27" i="2"/>
  <c r="D27" i="2"/>
  <c r="E26" i="2"/>
  <c r="E31" i="2" s="1"/>
  <c r="E33" i="2" s="1"/>
  <c r="D26" i="2"/>
  <c r="H25" i="2"/>
  <c r="F25" i="2"/>
  <c r="G25" i="2" s="1"/>
  <c r="C25" i="2"/>
  <c r="D25" i="2" s="1"/>
  <c r="H31" i="2"/>
  <c r="H33" i="2" s="1"/>
  <c r="C31" i="2"/>
  <c r="C33" i="2" s="1"/>
  <c r="B24" i="2"/>
  <c r="G21" i="2"/>
  <c r="B21" i="2"/>
  <c r="G19" i="2"/>
  <c r="D19" i="2"/>
  <c r="G18" i="2"/>
  <c r="D18" i="2"/>
  <c r="F16" i="2"/>
  <c r="G16" i="2" s="1"/>
  <c r="H15" i="2"/>
  <c r="G15" i="2"/>
  <c r="D15" i="2"/>
  <c r="B15" i="2"/>
  <c r="D14" i="2"/>
  <c r="G13" i="2"/>
  <c r="B13" i="2"/>
  <c r="H12" i="2"/>
  <c r="H20" i="2" s="1"/>
  <c r="H22" i="2" s="1"/>
  <c r="G12" i="2"/>
  <c r="E20" i="2"/>
  <c r="E22" i="2" s="1"/>
  <c r="D12" i="2"/>
  <c r="B12" i="2"/>
  <c r="H11" i="2"/>
  <c r="G11" i="2"/>
  <c r="C20" i="2"/>
  <c r="B11" i="2"/>
  <c r="B31" i="2" l="1"/>
  <c r="B33" i="2" s="1"/>
  <c r="E34" i="15"/>
  <c r="H34" i="15" s="1"/>
  <c r="B20" i="2"/>
  <c r="B22" i="2" s="1"/>
  <c r="D31" i="2"/>
  <c r="D33" i="2" s="1"/>
  <c r="E33" i="15"/>
  <c r="H33" i="15" s="1"/>
  <c r="E42" i="3"/>
  <c r="H21" i="15"/>
  <c r="E43" i="3"/>
  <c r="E47" i="3"/>
  <c r="B54" i="3"/>
  <c r="E40" i="3"/>
  <c r="E44" i="3"/>
  <c r="E38" i="3"/>
  <c r="C29" i="5"/>
  <c r="E41" i="3"/>
  <c r="E45" i="3"/>
  <c r="C54" i="3"/>
  <c r="B29" i="5"/>
  <c r="B29" i="2" s="1"/>
  <c r="B45" i="4"/>
  <c r="C22" i="2"/>
  <c r="D22" i="2" s="1"/>
  <c r="G20" i="2"/>
  <c r="G22" i="2" s="1"/>
  <c r="G31" i="2"/>
  <c r="D11" i="2"/>
  <c r="D20" i="2" s="1"/>
  <c r="F31" i="2"/>
  <c r="F33" i="2" s="1"/>
  <c r="G33" i="2" s="1"/>
  <c r="F20" i="2"/>
  <c r="F22" i="2" s="1"/>
  <c r="H27" i="15"/>
  <c r="H29" i="15" s="1"/>
  <c r="E29" i="15"/>
  <c r="G29" i="2"/>
  <c r="H11" i="15"/>
  <c r="H14" i="15" s="1"/>
  <c r="B29" i="15"/>
  <c r="H36" i="15" l="1"/>
  <c r="E36" i="15"/>
  <c r="D37" i="4"/>
</calcChain>
</file>

<file path=xl/sharedStrings.xml><?xml version="1.0" encoding="utf-8"?>
<sst xmlns="http://schemas.openxmlformats.org/spreadsheetml/2006/main" count="328" uniqueCount="160">
  <si>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</si>
  <si>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</si>
  <si>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</si>
  <si>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</si>
  <si>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</si>
  <si>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</si>
  <si>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</si>
  <si>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</si>
  <si>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</si>
  <si>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</si>
  <si>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</si>
  <si>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</si>
  <si>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</si>
  <si>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</si>
  <si>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</si>
  <si>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</si>
  <si>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</si>
  <si>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</si>
  <si>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</si>
  <si>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</si>
  <si>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</si>
  <si>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</si>
  <si>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</si>
  <si>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</si>
  <si>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</si>
  <si>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</si>
  <si>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</si>
  <si>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</si>
  <si>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</si>
  <si>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</si>
  <si>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</si>
  <si>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</si>
  <si>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</si>
  <si>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</si>
  <si>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</si>
  <si>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</si>
  <si>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</si>
  <si>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</si>
  <si>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</si>
  <si>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</si>
  <si>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</si>
  <si>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</si>
  <si>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</si>
  <si>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</si>
  <si>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</si>
  <si>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</si>
  <si>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</si>
  <si>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</si>
  <si>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</si>
  <si>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</si>
  <si>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</si>
  <si>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</si>
  <si>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</si>
  <si>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</si>
  <si>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</si>
  <si>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</si>
  <si>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</si>
  <si>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</si>
  <si>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</si>
  <si>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</si>
  <si>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</si>
  <si>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</si>
  <si>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</si>
  <si>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</si>
  <si>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</si>
  <si>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</si>
  <si>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</si>
  <si>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</si>
  <si>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</si>
  <si>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</si>
  <si>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</si>
  <si>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</si>
  <si>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</si>
  <si>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</si>
  <si>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</si>
  <si>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</si>
  <si>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</si>
  <si>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</si>
  <si>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</si>
  <si>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</si>
  <si>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</si>
  <si>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</si>
  <si>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</si>
  <si>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</si>
  <si>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</si>
  <si>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</si>
  <si>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</si>
  <si>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</si>
  <si>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</si>
  <si>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</si>
  <si>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</si>
  <si>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</si>
  <si>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</si>
  <si>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</si>
  <si>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</si>
  <si>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Felhalmozási kiadások ezer Ft</t>
  </si>
  <si>
    <t>Felhalmozási bevételek ezer Ft</t>
  </si>
  <si>
    <t>módosított</t>
  </si>
  <si>
    <t>Maradvány felhasználás</t>
  </si>
  <si>
    <t>Bérkompenzáció</t>
  </si>
  <si>
    <t>Ellátottak pénzbeli juttatásai</t>
  </si>
  <si>
    <t>Elvonások és befizetések</t>
  </si>
  <si>
    <t>Felhalmozási célú pénzeszköz átadás</t>
  </si>
  <si>
    <t>Változás</t>
  </si>
  <si>
    <t>Család- és gyermekjóléti Központ</t>
  </si>
  <si>
    <t>2016. ÉVI KÖLTSÉGVETÉSI HATOZATÁHOZ</t>
  </si>
  <si>
    <t>Kiadások és Bevételek működési egyensúlya</t>
  </si>
  <si>
    <t>2016. év terv</t>
  </si>
  <si>
    <t>Család és Gyermekjóléti Központ</t>
  </si>
  <si>
    <t>2016. január 1.</t>
  </si>
  <si>
    <t>Működési kiadások ezer Ft eredeti</t>
  </si>
  <si>
    <t>Működési kiadások ezer Ft módosított</t>
  </si>
  <si>
    <t>Működési bevételek ezer Ft eredeti</t>
  </si>
  <si>
    <t>Működési bevételek ezer Ft módosított</t>
  </si>
  <si>
    <t>Felhalmozási kiadások eredeti</t>
  </si>
  <si>
    <t>Felhalmozási kiadások módosított</t>
  </si>
  <si>
    <t>Felhalmozási bevétel eredeti</t>
  </si>
  <si>
    <t>Felhalmozási bevétel módosított</t>
  </si>
  <si>
    <t>2017. ÉVI KÖLTSÉGVETÉSI HATÁROZAT MÓDOSÍTÁSÁHOZ</t>
  </si>
  <si>
    <t>2017. évi költségvetéséről szóló 2/2017. (II.21.) TT. határozatot</t>
  </si>
  <si>
    <t>módosító …/2017. (IX.26.) TT. határozat</t>
  </si>
  <si>
    <t>2017. ÉVI KÖLTSÉGVETÉSI HATÁROZATÁHOZ</t>
  </si>
  <si>
    <t>előirányzat 2017.</t>
  </si>
  <si>
    <t>előirányzat 2017.07.31</t>
  </si>
  <si>
    <t>Ft-ban</t>
  </si>
  <si>
    <t>adatok: fő-ben</t>
  </si>
  <si>
    <t>2017. január 1.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</si>
  <si>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</si>
  <si>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</si>
  <si>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</si>
  <si>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</si>
  <si>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</si>
  <si>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</si>
  <si>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2017. július 31.</t>
  </si>
  <si>
    <t>Gyermekek átmeneti int. Ellátása, állami támogatás</t>
  </si>
  <si>
    <t>GYÁÓ bértámogatás és intézményüzemeltetési támogatás</t>
  </si>
  <si>
    <t>Térségi Társulástól érkező támogatás (tagdíj)</t>
  </si>
  <si>
    <t>Összevont ágazati pótlék</t>
  </si>
  <si>
    <t>Irányító szervi támogatás részletezése 2017. év eredeti és a módosítások</t>
  </si>
  <si>
    <t>2017.07.31. módosított</t>
  </si>
  <si>
    <t>Jubileumi jutalom</t>
  </si>
  <si>
    <t>Felmentési bér</t>
  </si>
  <si>
    <t>Felújítási Alap terhére kapott előirányzat</t>
  </si>
  <si>
    <t>2017. év eredeti</t>
  </si>
  <si>
    <t>2017. ÉVI KÖLTSÉGVETÉSI HATÁROZAT MÓDOSÍTÁSA</t>
  </si>
  <si>
    <t>2017. évi költségvetéséről szóló határozat módosításához</t>
  </si>
  <si>
    <t>2016. évi</t>
  </si>
  <si>
    <t>Beszedett tagdíjakból</t>
  </si>
  <si>
    <t>Irányító szervi támogatás részletezése 2017. év eredeti és módosítások Ft-ban</t>
  </si>
  <si>
    <t>2017. évi eredeti</t>
  </si>
  <si>
    <t xml:space="preserve">Változás </t>
  </si>
  <si>
    <t xml:space="preserve"> előirányzat 2017.</t>
  </si>
  <si>
    <t>Mosonmagyaróvár Térségi Társulás TOP pályázati bevételből 235.000.000 Ft</t>
  </si>
  <si>
    <t>Mosonmagyaróvár, 2017. szeptember 06.</t>
  </si>
  <si>
    <t>Kistérségi Egyesített Szociális Intézmény 1.720.000 Ft a dologi kiadásokból átcsoportosítva</t>
  </si>
  <si>
    <t>Család és Gyermekjóléti Központ felújítási alapból 1.266.698 Ft, és 630.000 Ft dologi kiadásokból átcsoportosítva</t>
  </si>
  <si>
    <t>3. SZÁMÚ MELLÉKLET</t>
  </si>
  <si>
    <t>4. sz. melléklet</t>
  </si>
  <si>
    <t>Mosonmagyaróvár Térségi Társulás és intézményei</t>
  </si>
  <si>
    <t>Minimálbér- garantált illetmény változás kompenzálása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</si>
</sst>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30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41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horizontal="center"/>
    </xf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27" fillId="0" borderId="24" xfId="2" applyFont="1" applyFill="1" applyBorder="1" applyAlignment="1">
      <alignment horizontal="right" vertical="top" wrapText="1"/>
    </xf>
    <xf numFmtId="164" fontId="25" fillId="0" borderId="0" xfId="2" applyFont="1" applyFill="1" applyAlignment="1">
      <alignment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23" fillId="0" borderId="0" xfId="2" applyFont="1" applyFill="1" applyAlignment="1">
      <alignment horizontal="center"/>
    </xf>
    <xf numFmtId="164" fontId="9" fillId="0" borderId="26" xfId="2" applyFont="1" applyFill="1" applyBorder="1" applyAlignment="1">
      <alignment horizontal="center"/>
    </xf>
    <xf numFmtId="164" fontId="9" fillId="0" borderId="27" xfId="2" applyFont="1" applyFill="1" applyBorder="1" applyAlignment="1">
      <alignment horizontal="center" wrapText="1"/>
    </xf>
    <xf numFmtId="166" fontId="10" fillId="0" borderId="28" xfId="2" applyNumberFormat="1" applyFont="1" applyFill="1" applyBorder="1" applyAlignment="1"/>
    <xf numFmtId="166" fontId="9" fillId="3" borderId="28" xfId="2" applyNumberFormat="1" applyFont="1" applyFill="1" applyBorder="1" applyAlignment="1"/>
    <xf numFmtId="166" fontId="9" fillId="0" borderId="28" xfId="2" applyNumberFormat="1" applyFont="1" applyFill="1" applyBorder="1" applyAlignment="1"/>
    <xf numFmtId="166" fontId="10" fillId="0" borderId="29" xfId="2" applyNumberFormat="1" applyFont="1" applyFill="1" applyBorder="1" applyAlignment="1"/>
    <xf numFmtId="164" fontId="23" fillId="0" borderId="30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1" xfId="2" applyFont="1" applyFill="1" applyBorder="1" applyAlignment="1">
      <alignment horizontal="right" vertical="top" wrapText="1"/>
    </xf>
    <xf numFmtId="164" fontId="26" fillId="5" borderId="25" xfId="2" applyFont="1" applyFill="1" applyBorder="1" applyAlignment="1">
      <alignment horizontal="right" vertical="top" wrapText="1"/>
    </xf>
    <xf numFmtId="164" fontId="26" fillId="5" borderId="32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33" xfId="3" applyNumberFormat="1" applyFont="1" applyFill="1" applyBorder="1" applyAlignment="1">
      <alignment horizontal="right"/>
    </xf>
    <xf numFmtId="164" fontId="14" fillId="0" borderId="16" xfId="2" applyFont="1" applyFill="1" applyBorder="1" applyAlignment="1"/>
    <xf numFmtId="167" fontId="14" fillId="0" borderId="12" xfId="3" applyNumberFormat="1" applyFont="1" applyFill="1" applyBorder="1" applyAlignment="1">
      <alignment horizontal="right"/>
    </xf>
    <xf numFmtId="164" fontId="14" fillId="0" borderId="25" xfId="2" applyFont="1" applyFill="1" applyBorder="1" applyAlignment="1"/>
    <xf numFmtId="167" fontId="14" fillId="0" borderId="13" xfId="3" applyNumberFormat="1" applyFont="1" applyFill="1" applyBorder="1" applyAlignment="1">
      <alignment horizontal="right"/>
    </xf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7" fontId="14" fillId="0" borderId="13" xfId="3" applyNumberFormat="1" applyFont="1" applyFill="1" applyBorder="1" applyAlignment="1"/>
    <xf numFmtId="167" fontId="2" fillId="0" borderId="12" xfId="3" applyNumberFormat="1" applyFont="1" applyFill="1" applyBorder="1" applyAlignment="1"/>
    <xf numFmtId="167" fontId="29" fillId="0" borderId="12" xfId="3" applyNumberFormat="1" applyFont="1" applyBorder="1"/>
    <xf numFmtId="167" fontId="14" fillId="0" borderId="12" xfId="3" applyNumberFormat="1" applyFont="1" applyFill="1" applyBorder="1" applyAlignment="1"/>
    <xf numFmtId="164" fontId="19" fillId="0" borderId="0" xfId="2" applyFont="1" applyFill="1" applyAlignment="1">
      <alignment horizontal="center" vertical="center" wrapText="1"/>
    </xf>
    <xf numFmtId="164" fontId="3" fillId="0" borderId="0" xfId="2" applyFont="1" applyFill="1" applyAlignment="1">
      <alignment horizontal="center" vertical="center" wrapText="1"/>
    </xf>
    <xf numFmtId="167" fontId="19" fillId="0" borderId="0" xfId="3" applyNumberFormat="1" applyFont="1" applyFill="1" applyBorder="1" applyAlignment="1"/>
    <xf numFmtId="167" fontId="14" fillId="0" borderId="13" xfId="3" applyNumberFormat="1" applyFont="1" applyFill="1" applyBorder="1" applyAlignment="1">
      <alignment vertical="center"/>
    </xf>
    <xf numFmtId="167" fontId="14" fillId="0" borderId="12" xfId="3" applyNumberFormat="1" applyFont="1" applyFill="1" applyBorder="1" applyAlignment="1">
      <alignment vertical="center"/>
    </xf>
    <xf numFmtId="166" fontId="9" fillId="3" borderId="26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4" fontId="19" fillId="0" borderId="0" xfId="2" applyFont="1" applyFill="1" applyAlignment="1">
      <alignment horizontal="center" vertical="center"/>
    </xf>
    <xf numFmtId="166" fontId="9" fillId="3" borderId="34" xfId="2" applyNumberFormat="1" applyFont="1" applyFill="1" applyBorder="1" applyAlignment="1"/>
    <xf numFmtId="166" fontId="9" fillId="0" borderId="35" xfId="2" applyNumberFormat="1" applyFont="1" applyFill="1" applyBorder="1" applyAlignment="1"/>
    <xf numFmtId="166" fontId="9" fillId="3" borderId="35" xfId="2" applyNumberFormat="1" applyFont="1" applyFill="1" applyBorder="1" applyAlignment="1"/>
    <xf numFmtId="0" fontId="0" fillId="0" borderId="0" xfId="0"/>
    <xf numFmtId="167" fontId="14" fillId="0" borderId="12" xfId="3" applyNumberFormat="1" applyFont="1" applyFill="1" applyBorder="1" applyAlignment="1">
      <alignment vertical="center"/>
    </xf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 wrapText="1"/>
    </xf>
    <xf numFmtId="167" fontId="14" fillId="0" borderId="13" xfId="3" applyNumberFormat="1" applyFont="1" applyFill="1" applyBorder="1" applyAlignment="1">
      <alignment horizontal="right"/>
    </xf>
    <xf numFmtId="167" fontId="14" fillId="0" borderId="33" xfId="3" applyNumberFormat="1" applyFont="1" applyFill="1" applyBorder="1" applyAlignment="1">
      <alignment horizontal="right"/>
    </xf>
    <xf numFmtId="167" fontId="14" fillId="0" borderId="12" xfId="3" applyNumberFormat="1" applyFont="1" applyFill="1" applyBorder="1" applyAlignment="1">
      <alignment vertical="center"/>
    </xf>
    <xf numFmtId="167" fontId="2" fillId="0" borderId="13" xfId="3" applyNumberFormat="1" applyFont="1" applyFill="1" applyBorder="1" applyAlignment="1">
      <alignment horizontal="center"/>
    </xf>
    <xf numFmtId="167" fontId="2" fillId="0" borderId="33" xfId="3" applyNumberFormat="1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el&#337;terjeszt&#233;s/szeptember/rendelet%20m&#243;dos&#237;t&#225;s/2017_koltsegvetesi_rendelet_modositas_melleklete_2017_07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105">
          <cell r="D105">
            <v>93047238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 refreshError="1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 refreshError="1"/>
      <sheetData sheetId="2" refreshError="1">
        <row r="24">
          <cell r="G24">
            <v>141381508</v>
          </cell>
        </row>
        <row r="86">
          <cell r="F86">
            <v>5716475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 refreshError="1"/>
      <sheetData sheetId="4" refreshError="1">
        <row r="9">
          <cell r="E9">
            <v>500000</v>
          </cell>
        </row>
        <row r="55">
          <cell r="E55">
            <v>78493074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talom"/>
      <sheetName val="Mérleg"/>
      <sheetName val="Működési bevételek"/>
      <sheetName val="Felhalmozási bevételek"/>
      <sheetName val="Működési kiadások"/>
      <sheetName val="Felhalmozási kiadások"/>
      <sheetName val="Állami támogatások "/>
      <sheetName val="Címrend"/>
      <sheetName val="Létszámok "/>
      <sheetName val="Finanszírozás"/>
      <sheetName val="Gördülő tervezés"/>
      <sheetName val=" hitel"/>
      <sheetName val="Saját bevételek részletez. mód."/>
      <sheetName val="Adósságot keletkeztető fejlesz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8">
          <cell r="E28">
            <v>22714208</v>
          </cell>
        </row>
        <row r="29">
          <cell r="E29">
            <v>47502000</v>
          </cell>
        </row>
        <row r="30">
          <cell r="E30">
            <v>7521000</v>
          </cell>
        </row>
        <row r="31">
          <cell r="E31">
            <v>19910000</v>
          </cell>
        </row>
        <row r="32">
          <cell r="E32">
            <v>8903520</v>
          </cell>
        </row>
        <row r="33">
          <cell r="E33">
            <v>21122585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23" sqref="A23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27" t="s">
        <v>1</v>
      </c>
      <c r="B5" s="127"/>
      <c r="C5" s="2"/>
    </row>
    <row r="6" spans="1:256" x14ac:dyDescent="0.25">
      <c r="A6" s="127" t="s">
        <v>118</v>
      </c>
      <c r="B6" s="127"/>
    </row>
    <row r="7" spans="1:256" x14ac:dyDescent="0.25">
      <c r="A7" s="2"/>
    </row>
    <row r="8" spans="1:256" x14ac:dyDescent="0.25">
      <c r="A8" s="2"/>
    </row>
    <row r="11" spans="1:256" x14ac:dyDescent="0.25">
      <c r="A11" s="127" t="s">
        <v>2</v>
      </c>
      <c r="B11" s="127"/>
    </row>
    <row r="12" spans="1:256" x14ac:dyDescent="0.25">
      <c r="A12" s="127" t="s">
        <v>119</v>
      </c>
      <c r="B12" s="127"/>
    </row>
    <row r="13" spans="1:256" customFormat="1" x14ac:dyDescent="0.25">
      <c r="A13" s="127" t="s">
        <v>120</v>
      </c>
      <c r="B13" s="1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28" t="s">
        <v>3</v>
      </c>
      <c r="B15" s="128"/>
    </row>
    <row r="16" spans="1:256" ht="15.75" x14ac:dyDescent="0.25">
      <c r="A16" s="126" t="s">
        <v>4</v>
      </c>
      <c r="B16" s="126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57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3"/>
  <sheetViews>
    <sheetView topLeftCell="A18" workbookViewId="0">
      <selection activeCell="C26" sqref="C26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16384" width="8.75" style="1"/>
  </cols>
  <sheetData>
    <row r="1" spans="1:252" x14ac:dyDescent="0.25">
      <c r="B1" s="130" t="s">
        <v>12</v>
      </c>
      <c r="C1" s="130"/>
      <c r="D1" s="3"/>
      <c r="E1" s="3"/>
      <c r="F1" s="3"/>
      <c r="G1" s="3"/>
      <c r="H1" s="3"/>
    </row>
    <row r="2" spans="1:252" x14ac:dyDescent="0.25">
      <c r="B2" s="2"/>
    </row>
    <row r="3" spans="1:252" x14ac:dyDescent="0.25">
      <c r="A3" s="127" t="s">
        <v>1</v>
      </c>
      <c r="B3" s="127"/>
      <c r="C3" s="127"/>
      <c r="D3" s="3"/>
      <c r="E3" s="3"/>
      <c r="F3" s="3"/>
      <c r="G3" s="3"/>
      <c r="H3" s="3"/>
    </row>
    <row r="4" spans="1:252" x14ac:dyDescent="0.25">
      <c r="A4" s="127" t="s">
        <v>118</v>
      </c>
      <c r="B4" s="127"/>
      <c r="C4" s="127"/>
      <c r="D4" s="3"/>
      <c r="E4" s="3"/>
      <c r="F4" s="3"/>
      <c r="G4" s="3"/>
      <c r="H4" s="3"/>
    </row>
    <row r="5" spans="1:252" ht="15.75" x14ac:dyDescent="0.25">
      <c r="A5" s="131" t="s">
        <v>13</v>
      </c>
      <c r="B5" s="131"/>
      <c r="C5" s="131"/>
      <c r="D5" s="12"/>
      <c r="E5" s="12"/>
      <c r="F5" s="12"/>
      <c r="G5" s="12"/>
      <c r="H5" s="12"/>
    </row>
    <row r="6" spans="1:252" ht="15.75" x14ac:dyDescent="0.25">
      <c r="A6" s="131" t="s">
        <v>14</v>
      </c>
      <c r="B6" s="131"/>
      <c r="C6" s="131"/>
      <c r="D6" s="12"/>
      <c r="E6" s="12"/>
      <c r="F6" s="12"/>
      <c r="G6" s="12"/>
      <c r="H6" s="12"/>
    </row>
    <row r="7" spans="1:252" ht="15.75" x14ac:dyDescent="0.25">
      <c r="A7" s="12"/>
      <c r="B7" s="12"/>
      <c r="C7" s="12"/>
      <c r="D7" s="12"/>
      <c r="E7" s="12"/>
      <c r="F7" s="12"/>
      <c r="G7" s="12"/>
      <c r="H7" s="12"/>
    </row>
    <row r="8" spans="1:252" ht="15.75" customHeight="1" x14ac:dyDescent="0.25">
      <c r="A8" s="132" t="s">
        <v>158</v>
      </c>
      <c r="B8" s="132"/>
      <c r="C8" s="132"/>
      <c r="D8" s="13" t="s">
        <v>15</v>
      </c>
      <c r="E8" s="13" t="s">
        <v>16</v>
      </c>
      <c r="F8" s="13"/>
      <c r="G8" s="13" t="s">
        <v>15</v>
      </c>
      <c r="H8" s="13" t="s">
        <v>16</v>
      </c>
    </row>
    <row r="9" spans="1:252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97</v>
      </c>
      <c r="G9" s="14" t="s">
        <v>97</v>
      </c>
      <c r="H9" s="14" t="s">
        <v>97</v>
      </c>
    </row>
    <row r="10" spans="1:252" ht="33.75" customHeight="1" x14ac:dyDescent="0.25">
      <c r="A10" s="15"/>
      <c r="B10" s="16" t="s">
        <v>18</v>
      </c>
      <c r="C10" s="16" t="s">
        <v>151</v>
      </c>
      <c r="D10" s="16" t="s">
        <v>151</v>
      </c>
      <c r="E10" s="16" t="s">
        <v>151</v>
      </c>
      <c r="F10" s="16" t="s">
        <v>123</v>
      </c>
      <c r="G10" s="16" t="s">
        <v>123</v>
      </c>
      <c r="H10" s="16" t="s">
        <v>123</v>
      </c>
    </row>
    <row r="11" spans="1:252" ht="15.75" x14ac:dyDescent="0.25">
      <c r="A11" s="17" t="s">
        <v>19</v>
      </c>
      <c r="B11" s="18">
        <f>'2B'!B12+'2C'!B12+'2D'!B12</f>
        <v>142146325</v>
      </c>
      <c r="C11" s="18">
        <f>'2B'!C12+'2C'!B12+'2D'!B12</f>
        <v>548586508</v>
      </c>
      <c r="D11" s="18">
        <f t="shared" ref="D11:D19" si="0">SUM(C11-E11)</f>
        <v>548086508</v>
      </c>
      <c r="E11" s="18">
        <f>'2D'!B12</f>
        <v>500000</v>
      </c>
      <c r="F11" s="18">
        <f>'2B'!D12+'2C'!C12+'2D'!C12</f>
        <v>565514174</v>
      </c>
      <c r="G11" s="18">
        <f>F11-H11</f>
        <v>565014174</v>
      </c>
      <c r="H11" s="18">
        <f>'2D'!C12</f>
        <v>500000</v>
      </c>
    </row>
    <row r="12" spans="1:252" ht="15.75" x14ac:dyDescent="0.25">
      <c r="A12" s="17" t="s">
        <v>20</v>
      </c>
      <c r="B12" s="18">
        <f>'2B'!B13+'2C'!B13+'2D'!B13</f>
        <v>32546024</v>
      </c>
      <c r="C12" s="18">
        <f>'2B'!C13+'2C'!B13+'2D'!B13</f>
        <v>130476457</v>
      </c>
      <c r="D12" s="18">
        <f t="shared" si="0"/>
        <v>130227457</v>
      </c>
      <c r="E12" s="18">
        <f>'2D'!B13</f>
        <v>249000</v>
      </c>
      <c r="F12" s="18">
        <f>'2B'!D13+'2C'!C13+'2D'!C13</f>
        <v>134239382</v>
      </c>
      <c r="G12" s="18">
        <f t="shared" ref="G12:G21" si="1">F12-H12</f>
        <v>133990382</v>
      </c>
      <c r="H12" s="18">
        <f>'2D'!C13</f>
        <v>249000</v>
      </c>
    </row>
    <row r="13" spans="1:252" ht="15.75" x14ac:dyDescent="0.25">
      <c r="A13" s="17" t="s">
        <v>21</v>
      </c>
      <c r="B13" s="18">
        <f>'2B'!B14+'2C'!B14+'2D'!B14</f>
        <v>38652414</v>
      </c>
      <c r="C13" s="18">
        <f>'2B'!C14+'2C'!B14+'2D'!B14</f>
        <v>231722368</v>
      </c>
      <c r="D13" s="18">
        <f>SUM(C13-E13)</f>
        <v>219920091</v>
      </c>
      <c r="E13" s="18">
        <f>'2D'!B14-10091</f>
        <v>11802277</v>
      </c>
      <c r="F13" s="18">
        <f>'2B'!D14+'2C'!C14+'2D'!C14</f>
        <v>229372368</v>
      </c>
      <c r="G13" s="18">
        <f t="shared" si="1"/>
        <v>217570091</v>
      </c>
      <c r="H13" s="18">
        <f>'2D'!C14-10091</f>
        <v>11802277</v>
      </c>
    </row>
    <row r="14" spans="1:252" ht="15.75" x14ac:dyDescent="0.25">
      <c r="A14" s="17" t="s">
        <v>100</v>
      </c>
      <c r="B14" s="18"/>
      <c r="C14" s="18">
        <f>'2B'!C15+'2C'!B15</f>
        <v>1270000</v>
      </c>
      <c r="D14" s="18">
        <f>'2B'!D15+'2C'!C15</f>
        <v>1270000</v>
      </c>
      <c r="E14" s="18">
        <v>0</v>
      </c>
      <c r="F14" s="18">
        <f>'2B'!D15+'2C'!C15</f>
        <v>1270000</v>
      </c>
      <c r="G14" s="18">
        <f t="shared" si="1"/>
        <v>1270000</v>
      </c>
      <c r="H14" s="18">
        <v>0</v>
      </c>
    </row>
    <row r="15" spans="1:252" ht="15.75" x14ac:dyDescent="0.25">
      <c r="A15" s="17" t="s">
        <v>22</v>
      </c>
      <c r="B15" s="18">
        <f>'2B'!B15+'2C'!B15+'2D'!B15</f>
        <v>6760570</v>
      </c>
      <c r="C15" s="18">
        <f>'2D'!B15</f>
        <v>6340000</v>
      </c>
      <c r="D15" s="18">
        <f t="shared" si="0"/>
        <v>0</v>
      </c>
      <c r="E15" s="18">
        <f>'2D'!B15</f>
        <v>6340000</v>
      </c>
      <c r="F15" s="18">
        <f>'2D'!C15</f>
        <v>6340000</v>
      </c>
      <c r="G15" s="18">
        <f t="shared" si="1"/>
        <v>0</v>
      </c>
      <c r="H15" s="18">
        <f>'2D'!C15</f>
        <v>6340000</v>
      </c>
    </row>
    <row r="16" spans="1:252" customFormat="1" ht="15.75" x14ac:dyDescent="0.25">
      <c r="A16" s="17" t="s">
        <v>101</v>
      </c>
      <c r="B16" s="18"/>
      <c r="C16" s="18">
        <v>0</v>
      </c>
      <c r="D16" s="18"/>
      <c r="E16" s="18"/>
      <c r="F16" s="18">
        <f>'2B'!D16+'2C'!C16</f>
        <v>0</v>
      </c>
      <c r="G16" s="18">
        <f t="shared" si="1"/>
        <v>0</v>
      </c>
      <c r="H16" s="18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 s="45" customFormat="1" ht="15.75" x14ac:dyDescent="0.25">
      <c r="A17" s="17" t="s">
        <v>102</v>
      </c>
      <c r="B17" s="18"/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pans="1:252" ht="15.75" x14ac:dyDescent="0.25">
      <c r="A18" s="17" t="s">
        <v>23</v>
      </c>
      <c r="B18" s="18">
        <v>0</v>
      </c>
      <c r="C18" s="18">
        <f>'2B'!C17+'2C'!B17+'2D'!B18</f>
        <v>235000000</v>
      </c>
      <c r="D18" s="18">
        <f t="shared" si="0"/>
        <v>0</v>
      </c>
      <c r="E18" s="18">
        <f>'2D'!C18</f>
        <v>235000000</v>
      </c>
      <c r="F18" s="18">
        <f>'2B'!D17+'2C'!C17+'2D'!C18</f>
        <v>238616698</v>
      </c>
      <c r="G18" s="18">
        <f t="shared" si="1"/>
        <v>3616698</v>
      </c>
      <c r="H18" s="18">
        <f>'2D'!C18</f>
        <v>235000000</v>
      </c>
    </row>
    <row r="19" spans="1:252" ht="15.75" x14ac:dyDescent="0.25">
      <c r="A19" s="17" t="s">
        <v>24</v>
      </c>
      <c r="B19" s="19">
        <v>0</v>
      </c>
      <c r="C19" s="19">
        <v>0</v>
      </c>
      <c r="D19" s="18">
        <f t="shared" si="0"/>
        <v>0</v>
      </c>
      <c r="E19" s="18">
        <v>0</v>
      </c>
      <c r="F19" s="18">
        <v>0</v>
      </c>
      <c r="G19" s="18">
        <f t="shared" si="1"/>
        <v>0</v>
      </c>
      <c r="H19" s="18">
        <v>0</v>
      </c>
    </row>
    <row r="20" spans="1:252" ht="15.75" x14ac:dyDescent="0.25">
      <c r="A20" s="20" t="s">
        <v>25</v>
      </c>
      <c r="B20" s="22">
        <f t="shared" ref="B20:H20" si="2">SUM(B11:B19)</f>
        <v>220105333</v>
      </c>
      <c r="C20" s="22">
        <f t="shared" si="2"/>
        <v>1153395333</v>
      </c>
      <c r="D20" s="44">
        <f t="shared" si="2"/>
        <v>899504056</v>
      </c>
      <c r="E20" s="22">
        <f t="shared" si="2"/>
        <v>253891277</v>
      </c>
      <c r="F20" s="38">
        <f t="shared" si="2"/>
        <v>1175352622</v>
      </c>
      <c r="G20" s="38">
        <f t="shared" si="2"/>
        <v>921461345</v>
      </c>
      <c r="H20" s="121">
        <f t="shared" si="2"/>
        <v>253891277</v>
      </c>
    </row>
    <row r="21" spans="1:252" ht="15.75" x14ac:dyDescent="0.25">
      <c r="A21" s="17" t="s">
        <v>26</v>
      </c>
      <c r="B21" s="24">
        <f>'2D'!B21</f>
        <v>21770799</v>
      </c>
      <c r="C21" s="24">
        <f>'2D'!B21</f>
        <v>21770799</v>
      </c>
      <c r="D21" s="23">
        <f>'2D'!B21</f>
        <v>21770799</v>
      </c>
      <c r="E21" s="24">
        <v>0</v>
      </c>
      <c r="F21" s="41">
        <f>'2D'!C21</f>
        <v>20306848</v>
      </c>
      <c r="G21" s="18">
        <f t="shared" si="1"/>
        <v>0</v>
      </c>
      <c r="H21" s="122">
        <f>'2D'!C21</f>
        <v>20306848</v>
      </c>
    </row>
    <row r="22" spans="1:252" ht="15.75" x14ac:dyDescent="0.25">
      <c r="A22" s="26" t="s">
        <v>29</v>
      </c>
      <c r="B22" s="23">
        <f>B20+B21</f>
        <v>241876132</v>
      </c>
      <c r="C22" s="23">
        <f>C20+C21</f>
        <v>1175166132</v>
      </c>
      <c r="D22" s="23">
        <f>SUM(C22-E22)</f>
        <v>921274855</v>
      </c>
      <c r="E22" s="24">
        <f>SUM(E20+E21)</f>
        <v>253891277</v>
      </c>
      <c r="F22" s="42">
        <f>SUM(F20:F21)</f>
        <v>1195659470</v>
      </c>
      <c r="G22" s="42">
        <f>SUM(G20:G21)</f>
        <v>921461345</v>
      </c>
      <c r="H22" s="42">
        <f>SUM(H20:H21)</f>
        <v>274198125</v>
      </c>
    </row>
    <row r="23" spans="1:252" ht="15.75" x14ac:dyDescent="0.25">
      <c r="A23" s="27"/>
      <c r="B23" s="25"/>
      <c r="C23" s="25"/>
      <c r="D23" s="25"/>
      <c r="E23" s="25"/>
      <c r="F23" s="25"/>
      <c r="G23" s="25"/>
      <c r="H23" s="25"/>
    </row>
    <row r="24" spans="1:252" ht="15.75" x14ac:dyDescent="0.25">
      <c r="A24" s="17" t="s">
        <v>30</v>
      </c>
      <c r="B24" s="18">
        <f>'2B'!B23+'2C'!B21+'2D'!B24</f>
        <v>12591469</v>
      </c>
      <c r="C24" s="18">
        <f>'2B'!C23+'2C'!B21+'2D'!B24</f>
        <v>286220736</v>
      </c>
      <c r="D24" s="18">
        <v>286831415</v>
      </c>
      <c r="E24" s="18">
        <v>89321</v>
      </c>
      <c r="F24" s="18">
        <f>'2C'!C21+'2D'!C24+'2B'!D23</f>
        <v>286220736</v>
      </c>
      <c r="G24" s="18">
        <f>F24-H24+9990956</f>
        <v>296122371</v>
      </c>
      <c r="H24" s="18">
        <f>'2D'!C24-10091-9990956</f>
        <v>89321</v>
      </c>
    </row>
    <row r="25" spans="1:252" ht="15.75" x14ac:dyDescent="0.25">
      <c r="A25" s="17" t="s">
        <v>31</v>
      </c>
      <c r="B25" s="18">
        <v>0</v>
      </c>
      <c r="C25" s="18">
        <f>'2B'!C24+'2C'!B22+'2D'!B25</f>
        <v>0</v>
      </c>
      <c r="D25" s="18">
        <f t="shared" ref="D25:D30" si="3">C25-E25</f>
        <v>0</v>
      </c>
      <c r="E25" s="18">
        <v>0</v>
      </c>
      <c r="F25" s="18">
        <f>'2D'!C25</f>
        <v>0</v>
      </c>
      <c r="G25" s="18">
        <f t="shared" ref="G25:G33" si="4">F25-H25</f>
        <v>0</v>
      </c>
      <c r="H25" s="18">
        <f>'2C'!C22</f>
        <v>0</v>
      </c>
    </row>
    <row r="26" spans="1:252" ht="15.75" x14ac:dyDescent="0.25">
      <c r="A26" s="17" t="s">
        <v>32</v>
      </c>
      <c r="B26" s="18">
        <v>0</v>
      </c>
      <c r="C26" s="18">
        <f>'2D'!B26</f>
        <v>235000000</v>
      </c>
      <c r="D26" s="18">
        <f t="shared" si="3"/>
        <v>0</v>
      </c>
      <c r="E26" s="18">
        <f>'2D'!C26</f>
        <v>235000000</v>
      </c>
      <c r="F26" s="18">
        <f>'2B'!D24+'2C'!C22+'2D'!C26</f>
        <v>235000000</v>
      </c>
      <c r="G26" s="18">
        <v>0</v>
      </c>
      <c r="H26" s="18">
        <v>235000000</v>
      </c>
    </row>
    <row r="27" spans="1:252" ht="15.75" x14ac:dyDescent="0.25">
      <c r="A27" s="17" t="s">
        <v>33</v>
      </c>
      <c r="B27" s="18">
        <v>0</v>
      </c>
      <c r="C27" s="18">
        <v>0</v>
      </c>
      <c r="D27" s="18">
        <f t="shared" si="3"/>
        <v>0</v>
      </c>
      <c r="E27" s="18">
        <v>0</v>
      </c>
      <c r="F27" s="18">
        <v>0</v>
      </c>
      <c r="G27" s="18">
        <f t="shared" si="4"/>
        <v>0</v>
      </c>
      <c r="H27" s="18">
        <v>0</v>
      </c>
    </row>
    <row r="28" spans="1:252" ht="15.75" x14ac:dyDescent="0.25">
      <c r="A28" s="17" t="s">
        <v>34</v>
      </c>
      <c r="B28" s="18">
        <f>'2B'!B26+'2C'!B24+'2D'!B28</f>
        <v>604983544</v>
      </c>
      <c r="C28" s="18">
        <f>'2C'!B24+'2D'!B28</f>
        <v>604945396</v>
      </c>
      <c r="D28" s="18">
        <v>595443440</v>
      </c>
      <c r="E28" s="18">
        <v>8801956</v>
      </c>
      <c r="F28" s="18">
        <f>'2B'!D26+'2C'!C24+'2D'!C28</f>
        <v>623083929</v>
      </c>
      <c r="G28" s="18">
        <f t="shared" si="4"/>
        <v>593975125</v>
      </c>
      <c r="H28" s="18">
        <v>29108804</v>
      </c>
    </row>
    <row r="29" spans="1:252" ht="15.75" x14ac:dyDescent="0.25">
      <c r="A29" s="17" t="s">
        <v>35</v>
      </c>
      <c r="B29" s="18">
        <f>'2D'!B29</f>
        <v>325301770</v>
      </c>
      <c r="C29" s="18">
        <v>325301770</v>
      </c>
      <c r="D29" s="18">
        <v>325301770</v>
      </c>
      <c r="E29" s="18">
        <v>0</v>
      </c>
      <c r="F29" s="18">
        <v>325301770</v>
      </c>
      <c r="G29" s="18">
        <f t="shared" si="4"/>
        <v>325301770</v>
      </c>
      <c r="H29" s="18">
        <v>0</v>
      </c>
    </row>
    <row r="30" spans="1:252" ht="15.75" x14ac:dyDescent="0.25">
      <c r="A30" s="17" t="s">
        <v>36</v>
      </c>
      <c r="B30" s="19">
        <v>0</v>
      </c>
      <c r="C30" s="18">
        <f>'2B'!C29+'2C'!B27+'2D'!B30</f>
        <v>0</v>
      </c>
      <c r="D30" s="18">
        <f t="shared" si="3"/>
        <v>0</v>
      </c>
      <c r="E30" s="19">
        <v>0</v>
      </c>
      <c r="F30" s="19">
        <v>0</v>
      </c>
      <c r="G30" s="18">
        <f t="shared" si="4"/>
        <v>0</v>
      </c>
      <c r="H30" s="18">
        <f>'2C'!C27</f>
        <v>0</v>
      </c>
    </row>
    <row r="31" spans="1:252" ht="15.75" x14ac:dyDescent="0.25">
      <c r="A31" s="20" t="s">
        <v>37</v>
      </c>
      <c r="B31" s="22">
        <f>B28+B24</f>
        <v>617575013</v>
      </c>
      <c r="C31" s="43">
        <f t="shared" ref="C31:H31" si="5">C28+C24+C26</f>
        <v>1126166132</v>
      </c>
      <c r="D31" s="43">
        <f>SUM(D24:D28)</f>
        <v>882274855</v>
      </c>
      <c r="E31" s="43">
        <f>SUM(E24:E30)</f>
        <v>243891277</v>
      </c>
      <c r="F31" s="43">
        <f t="shared" si="5"/>
        <v>1144304665</v>
      </c>
      <c r="G31" s="43">
        <f t="shared" si="5"/>
        <v>890097496</v>
      </c>
      <c r="H31" s="123">
        <f t="shared" si="5"/>
        <v>264198125</v>
      </c>
    </row>
    <row r="32" spans="1:252" ht="15.75" x14ac:dyDescent="0.25">
      <c r="A32" s="17" t="s">
        <v>98</v>
      </c>
      <c r="B32" s="19">
        <v>0</v>
      </c>
      <c r="C32" s="39">
        <f>'2B'!C31+'2C'!B29+'2D'!B33</f>
        <v>49000000</v>
      </c>
      <c r="D32" s="39">
        <f>'2B'!C31+'2C'!B29</f>
        <v>39000000</v>
      </c>
      <c r="E32" s="39">
        <f>'2D'!B33</f>
        <v>10000000</v>
      </c>
      <c r="F32" s="39">
        <f>'2B'!D31+'2C'!C29+'2D'!C33</f>
        <v>51354805</v>
      </c>
      <c r="G32" s="18">
        <f t="shared" si="4"/>
        <v>41354805</v>
      </c>
      <c r="H32" s="39">
        <v>10000000</v>
      </c>
    </row>
    <row r="33" spans="1:8" ht="15.75" x14ac:dyDescent="0.25">
      <c r="A33" s="28" t="s">
        <v>39</v>
      </c>
      <c r="B33" s="24">
        <f>B31+B32</f>
        <v>617575013</v>
      </c>
      <c r="C33" s="42">
        <f>C31+C32</f>
        <v>1175166132</v>
      </c>
      <c r="D33" s="42">
        <f>SUM(D31:D32)</f>
        <v>921274855</v>
      </c>
      <c r="E33" s="42">
        <f>SUM(E31:E32)</f>
        <v>253891277</v>
      </c>
      <c r="F33" s="42">
        <f>SUM(F31:F32)</f>
        <v>1195659470</v>
      </c>
      <c r="G33" s="23">
        <f t="shared" si="4"/>
        <v>921461345</v>
      </c>
      <c r="H33" s="42">
        <f>SUM(H31:H32)</f>
        <v>274198125</v>
      </c>
    </row>
    <row r="34" spans="1:8" ht="15.75" x14ac:dyDescent="0.25">
      <c r="A34" s="29"/>
      <c r="B34" s="30"/>
      <c r="C34" s="30"/>
      <c r="D34" s="30"/>
      <c r="E34" s="30"/>
      <c r="F34" s="30"/>
      <c r="G34" s="30"/>
      <c r="H34" s="30"/>
    </row>
    <row r="36" spans="1:8" x14ac:dyDescent="0.25">
      <c r="A36" s="84" t="s">
        <v>153</v>
      </c>
    </row>
    <row r="37" spans="1:8" x14ac:dyDescent="0.25">
      <c r="B37" s="1" t="s">
        <v>93</v>
      </c>
    </row>
    <row r="38" spans="1:8" x14ac:dyDescent="0.25">
      <c r="A38" s="129"/>
      <c r="B38" s="129"/>
      <c r="C38" s="129"/>
      <c r="D38"/>
      <c r="E38"/>
      <c r="F38"/>
      <c r="G38"/>
      <c r="H38"/>
    </row>
    <row r="39" spans="1:8" x14ac:dyDescent="0.25">
      <c r="B39" s="1" t="s">
        <v>92</v>
      </c>
    </row>
    <row r="40" spans="1:8" x14ac:dyDescent="0.25">
      <c r="B40" s="1" t="s">
        <v>90</v>
      </c>
    </row>
    <row r="41" spans="1:8" x14ac:dyDescent="0.25">
      <c r="B41" s="1" t="s">
        <v>91</v>
      </c>
    </row>
    <row r="42" spans="1:8" x14ac:dyDescent="0.25">
      <c r="B42" s="1" t="s">
        <v>94</v>
      </c>
    </row>
    <row r="43" spans="1:8" x14ac:dyDescent="0.25">
      <c r="B43" s="1" t="s">
        <v>90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6"/>
  <sheetViews>
    <sheetView topLeftCell="A40" workbookViewId="0">
      <selection activeCell="D53" sqref="D53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1.625" style="1" customWidth="1"/>
    <col min="7" max="16384" width="8.75" style="1"/>
  </cols>
  <sheetData>
    <row r="1" spans="1:254" x14ac:dyDescent="0.25">
      <c r="B1" s="130" t="s">
        <v>40</v>
      </c>
      <c r="C1" s="130"/>
      <c r="D1" s="3"/>
    </row>
    <row r="2" spans="1:254" x14ac:dyDescent="0.25">
      <c r="B2" s="2"/>
    </row>
    <row r="3" spans="1:254" x14ac:dyDescent="0.25">
      <c r="A3" s="127" t="s">
        <v>1</v>
      </c>
      <c r="B3" s="127"/>
      <c r="C3" s="127"/>
      <c r="D3" s="3"/>
    </row>
    <row r="4" spans="1:254" x14ac:dyDescent="0.25">
      <c r="A4" s="127" t="s">
        <v>144</v>
      </c>
      <c r="B4" s="127"/>
      <c r="C4" s="127"/>
      <c r="D4" s="3"/>
    </row>
    <row r="5" spans="1:254" ht="15.75" x14ac:dyDescent="0.25">
      <c r="A5" s="131" t="s">
        <v>13</v>
      </c>
      <c r="B5" s="131"/>
      <c r="C5" s="131"/>
      <c r="D5" s="12"/>
    </row>
    <row r="6" spans="1:254" ht="15.75" x14ac:dyDescent="0.25">
      <c r="A6" s="131" t="s">
        <v>14</v>
      </c>
      <c r="B6" s="131"/>
      <c r="C6" s="131"/>
      <c r="D6" s="12"/>
    </row>
    <row r="8" spans="1:254" ht="15.75" x14ac:dyDescent="0.25">
      <c r="B8" s="12"/>
      <c r="C8" s="12" t="s">
        <v>41</v>
      </c>
      <c r="D8" s="12" t="s">
        <v>41</v>
      </c>
    </row>
    <row r="9" spans="1:254" x14ac:dyDescent="0.25">
      <c r="A9" s="31" t="s">
        <v>42</v>
      </c>
      <c r="B9" s="31"/>
      <c r="C9" s="32"/>
      <c r="D9" s="32"/>
    </row>
    <row r="10" spans="1:254" ht="15.75" x14ac:dyDescent="0.25">
      <c r="A10" s="14" t="s">
        <v>6</v>
      </c>
      <c r="B10" s="33" t="s">
        <v>17</v>
      </c>
      <c r="C10" s="33" t="s">
        <v>17</v>
      </c>
      <c r="D10" s="86" t="s">
        <v>97</v>
      </c>
    </row>
    <row r="11" spans="1:254" ht="31.5" customHeight="1" x14ac:dyDescent="0.25">
      <c r="A11" s="15"/>
      <c r="B11" s="34" t="s">
        <v>18</v>
      </c>
      <c r="C11" s="34" t="s">
        <v>122</v>
      </c>
      <c r="D11" s="87" t="s">
        <v>123</v>
      </c>
    </row>
    <row r="12" spans="1:254" ht="15.75" x14ac:dyDescent="0.25">
      <c r="A12" s="17" t="s">
        <v>19</v>
      </c>
      <c r="B12" s="19">
        <v>264817</v>
      </c>
      <c r="C12" s="19">
        <v>406705000</v>
      </c>
      <c r="D12" s="88">
        <v>416037014</v>
      </c>
    </row>
    <row r="13" spans="1:254" ht="15.75" x14ac:dyDescent="0.25">
      <c r="A13" s="17" t="s">
        <v>20</v>
      </c>
      <c r="B13" s="19">
        <v>69967</v>
      </c>
      <c r="C13" s="19">
        <v>98000400</v>
      </c>
      <c r="D13" s="88">
        <v>100076710</v>
      </c>
    </row>
    <row r="14" spans="1:254" ht="15.75" x14ac:dyDescent="0.25">
      <c r="A14" s="17" t="s">
        <v>21</v>
      </c>
      <c r="B14" s="19">
        <f>SUM(200046)</f>
        <v>200046</v>
      </c>
      <c r="C14" s="19">
        <v>193270000</v>
      </c>
      <c r="D14" s="88">
        <v>191550000</v>
      </c>
    </row>
    <row r="15" spans="1:254" ht="15.75" x14ac:dyDescent="0.25">
      <c r="A15" s="17" t="s">
        <v>100</v>
      </c>
      <c r="B15" s="19">
        <v>570</v>
      </c>
      <c r="C15" s="19">
        <v>850000</v>
      </c>
      <c r="D15" s="88">
        <v>850000</v>
      </c>
    </row>
    <row r="16" spans="1:254" customFormat="1" ht="15.75" x14ac:dyDescent="0.25">
      <c r="A16" s="17" t="s">
        <v>101</v>
      </c>
      <c r="B16" s="19"/>
      <c r="C16" s="19">
        <v>0</v>
      </c>
      <c r="D16" s="88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4" ht="15.75" x14ac:dyDescent="0.25">
      <c r="A17" s="17" t="s">
        <v>23</v>
      </c>
      <c r="B17" s="19">
        <v>0</v>
      </c>
      <c r="C17" s="19">
        <v>0</v>
      </c>
      <c r="D17" s="88">
        <v>1720000</v>
      </c>
    </row>
    <row r="18" spans="1:4" ht="15.75" x14ac:dyDescent="0.25">
      <c r="A18" s="17" t="s">
        <v>24</v>
      </c>
      <c r="B18" s="19">
        <v>0</v>
      </c>
      <c r="C18" s="19">
        <v>0</v>
      </c>
      <c r="D18" s="88">
        <v>0</v>
      </c>
    </row>
    <row r="19" spans="1:4" ht="15.75" x14ac:dyDescent="0.25">
      <c r="A19" s="20" t="s">
        <v>25</v>
      </c>
      <c r="B19" s="21">
        <f>SUM(B12:B18)</f>
        <v>535400</v>
      </c>
      <c r="C19" s="21">
        <f>SUM(C12:C18)</f>
        <v>698825400</v>
      </c>
      <c r="D19" s="89">
        <f>SUM(D12:D18)</f>
        <v>710233724</v>
      </c>
    </row>
    <row r="20" spans="1:4" ht="15.75" hidden="1" x14ac:dyDescent="0.25">
      <c r="A20" s="17" t="s">
        <v>27</v>
      </c>
      <c r="B20" s="18" t="s">
        <v>28</v>
      </c>
      <c r="C20" s="18" t="s">
        <v>28</v>
      </c>
      <c r="D20" s="91"/>
    </row>
    <row r="21" spans="1:4" ht="15.75" x14ac:dyDescent="0.25">
      <c r="A21" s="26" t="s">
        <v>29</v>
      </c>
      <c r="B21" s="23">
        <f>SUM(B19)</f>
        <v>535400</v>
      </c>
      <c r="C21" s="23">
        <f>SUM(C19)</f>
        <v>698825400</v>
      </c>
      <c r="D21" s="90">
        <f>SUM(D19)</f>
        <v>710233724</v>
      </c>
    </row>
    <row r="22" spans="1:4" ht="15.75" x14ac:dyDescent="0.25">
      <c r="A22" s="27"/>
      <c r="B22" s="25"/>
      <c r="C22" s="25"/>
      <c r="D22" s="91"/>
    </row>
    <row r="23" spans="1:4" ht="15.75" x14ac:dyDescent="0.25">
      <c r="A23" s="17" t="s">
        <v>30</v>
      </c>
      <c r="B23" s="19">
        <v>201101</v>
      </c>
      <c r="C23" s="19">
        <v>273830368</v>
      </c>
      <c r="D23" s="88">
        <v>273830368</v>
      </c>
    </row>
    <row r="24" spans="1:4" ht="15.75" x14ac:dyDescent="0.25">
      <c r="A24" s="17" t="s">
        <v>32</v>
      </c>
      <c r="B24" s="19">
        <v>0</v>
      </c>
      <c r="C24" s="19">
        <v>0</v>
      </c>
      <c r="D24" s="88">
        <v>0</v>
      </c>
    </row>
    <row r="25" spans="1:4" ht="15.75" x14ac:dyDescent="0.25">
      <c r="A25" s="17" t="s">
        <v>33</v>
      </c>
      <c r="B25" s="19">
        <v>0</v>
      </c>
      <c r="C25" s="19">
        <v>0</v>
      </c>
      <c r="D25" s="88">
        <v>0</v>
      </c>
    </row>
    <row r="26" spans="1:4" ht="15.75" x14ac:dyDescent="0.25">
      <c r="A26" s="17" t="s">
        <v>34</v>
      </c>
      <c r="B26" s="19">
        <f>SUM(50763-12615)</f>
        <v>38148</v>
      </c>
      <c r="C26" s="19">
        <v>0</v>
      </c>
      <c r="D26" s="88">
        <v>0</v>
      </c>
    </row>
    <row r="27" spans="1:4" ht="15.75" x14ac:dyDescent="0.25">
      <c r="A27" s="17" t="s">
        <v>35</v>
      </c>
      <c r="B27" s="19">
        <v>0</v>
      </c>
      <c r="C27" s="19">
        <v>0</v>
      </c>
      <c r="D27" s="88">
        <v>0</v>
      </c>
    </row>
    <row r="28" spans="1:4" ht="15.75" x14ac:dyDescent="0.25">
      <c r="A28" s="17" t="s">
        <v>43</v>
      </c>
      <c r="B28" s="19">
        <f>SUM(283536+12615)</f>
        <v>296151</v>
      </c>
      <c r="C28" s="19">
        <v>388995032</v>
      </c>
      <c r="D28" s="88">
        <v>399874159</v>
      </c>
    </row>
    <row r="29" spans="1:4" ht="15.75" x14ac:dyDescent="0.25">
      <c r="A29" s="17" t="s">
        <v>36</v>
      </c>
      <c r="B29" s="19">
        <v>0</v>
      </c>
      <c r="C29" s="19">
        <v>0</v>
      </c>
      <c r="D29" s="88">
        <v>0</v>
      </c>
    </row>
    <row r="30" spans="1:4" ht="15.75" x14ac:dyDescent="0.25">
      <c r="A30" s="20" t="s">
        <v>37</v>
      </c>
      <c r="B30" s="21">
        <f>SUM(B29+B28+B26+B24+B23)</f>
        <v>535400</v>
      </c>
      <c r="C30" s="21">
        <f>SUM(C29+C28+C26+C24+C23)</f>
        <v>662825400</v>
      </c>
      <c r="D30" s="117">
        <f>SUM(D29+D28+D26+D24+D23)</f>
        <v>673704527</v>
      </c>
    </row>
    <row r="31" spans="1:4" ht="15.75" x14ac:dyDescent="0.25">
      <c r="A31" s="17" t="s">
        <v>98</v>
      </c>
      <c r="B31" s="18">
        <v>0</v>
      </c>
      <c r="C31" s="19">
        <v>36000000</v>
      </c>
      <c r="D31" s="39">
        <v>36529197</v>
      </c>
    </row>
    <row r="32" spans="1:4" ht="15.75" hidden="1" x14ac:dyDescent="0.25">
      <c r="A32" s="17" t="s">
        <v>38</v>
      </c>
      <c r="B32" s="18" t="s">
        <v>28</v>
      </c>
      <c r="C32" s="18" t="s">
        <v>28</v>
      </c>
      <c r="D32" s="91"/>
    </row>
    <row r="33" spans="1:255" ht="15.75" x14ac:dyDescent="0.25">
      <c r="A33" s="28" t="s">
        <v>39</v>
      </c>
      <c r="B33" s="23">
        <f>B30+B31</f>
        <v>535400</v>
      </c>
      <c r="C33" s="23">
        <f>C30+C31</f>
        <v>698825400</v>
      </c>
      <c r="D33" s="90">
        <f>D30+D31</f>
        <v>710233724</v>
      </c>
    </row>
    <row r="36" spans="1:255" ht="30" x14ac:dyDescent="0.25">
      <c r="A36" s="99" t="s">
        <v>148</v>
      </c>
      <c r="B36" s="49" t="s">
        <v>44</v>
      </c>
      <c r="C36" s="48"/>
      <c r="D36" s="48"/>
    </row>
    <row r="37" spans="1:255" ht="30" x14ac:dyDescent="0.25">
      <c r="A37" s="48"/>
      <c r="B37" s="49" t="s">
        <v>146</v>
      </c>
      <c r="C37" s="120" t="s">
        <v>149</v>
      </c>
      <c r="D37" s="113" t="s">
        <v>139</v>
      </c>
      <c r="E37" s="112" t="s">
        <v>150</v>
      </c>
    </row>
    <row r="38" spans="1:255" x14ac:dyDescent="0.25">
      <c r="A38" s="118" t="s">
        <v>45</v>
      </c>
      <c r="B38" s="103">
        <f>[1]KESZI!$D$82</f>
        <v>25576320</v>
      </c>
      <c r="C38" s="103">
        <f>'[2]KESZI 2016.12.12.'!$G$101</f>
        <v>24967360</v>
      </c>
      <c r="D38" s="103">
        <f>'[3]Állami támogatások '!$E$28</f>
        <v>22714208</v>
      </c>
      <c r="E38" s="103">
        <f>D38-C38</f>
        <v>-2253152</v>
      </c>
    </row>
    <row r="39" spans="1:255" x14ac:dyDescent="0.25">
      <c r="A39" s="118" t="s">
        <v>46</v>
      </c>
      <c r="B39" s="103">
        <f>[1]KESZI!$D$83</f>
        <v>35815000</v>
      </c>
      <c r="C39" s="103">
        <f>'[2]KESZI 2016.12.12.'!$G$102</f>
        <v>41769000</v>
      </c>
      <c r="D39" s="103">
        <f>'[3]Állami támogatások '!$E$29</f>
        <v>47502000</v>
      </c>
      <c r="E39" s="103">
        <f t="shared" ref="E39:E53" si="0">D39-C39</f>
        <v>5733000</v>
      </c>
    </row>
    <row r="40" spans="1:255" x14ac:dyDescent="0.25">
      <c r="A40" s="118" t="s">
        <v>47</v>
      </c>
      <c r="B40" s="103">
        <f>[1]KESZI!$D$84</f>
        <v>6376500</v>
      </c>
      <c r="C40" s="103">
        <f>'[2]KESZI 2016.12.12.'!$G$105</f>
        <v>7357500</v>
      </c>
      <c r="D40" s="103">
        <f>'[3]Állami támogatások '!$E$30</f>
        <v>7521000</v>
      </c>
      <c r="E40" s="103">
        <f t="shared" si="0"/>
        <v>163500</v>
      </c>
    </row>
    <row r="41" spans="1:255" x14ac:dyDescent="0.25">
      <c r="A41" s="119" t="s">
        <v>49</v>
      </c>
      <c r="B41" s="103">
        <f>[1]KESZI!$D$85+[1]KESZI!$D$86+[1]KESZI!$D$87</f>
        <v>24090000</v>
      </c>
      <c r="C41" s="103">
        <f>'[2]KESZI 2016.12.12.'!$G$106+'[2]KESZI 2016.12.12.'!$G$107+'[2]KESZI 2016.12.12.'!$G$108</f>
        <v>21340000</v>
      </c>
      <c r="D41" s="103">
        <f>'[3]Állami támogatások '!$E$31</f>
        <v>19910000</v>
      </c>
      <c r="E41" s="103">
        <f t="shared" si="0"/>
        <v>-1430000</v>
      </c>
    </row>
    <row r="42" spans="1:255" x14ac:dyDescent="0.25">
      <c r="A42" s="118" t="s">
        <v>50</v>
      </c>
      <c r="B42" s="103">
        <f>[1]KESZI!$D$88</f>
        <v>8903520</v>
      </c>
      <c r="C42" s="103">
        <f>'[2]KESZI 2016.12.12.'!$G$109</f>
        <v>8903520</v>
      </c>
      <c r="D42" s="103">
        <f>'[3]Állami támogatások '!$E$32</f>
        <v>8903520</v>
      </c>
      <c r="E42" s="103">
        <f t="shared" si="0"/>
        <v>0</v>
      </c>
    </row>
    <row r="43" spans="1:255" x14ac:dyDescent="0.25">
      <c r="A43" s="118" t="s">
        <v>51</v>
      </c>
      <c r="B43" s="103">
        <f>[1]KESZI!$D$89</f>
        <v>20607400</v>
      </c>
      <c r="C43" s="103">
        <f>'[2]KESZI 2016.12.12.'!$G$110</f>
        <v>19577030</v>
      </c>
      <c r="D43" s="103">
        <f>'[3]Állami támogatások '!$E$33</f>
        <v>21122585</v>
      </c>
      <c r="E43" s="103">
        <f t="shared" si="0"/>
        <v>1545555</v>
      </c>
    </row>
    <row r="44" spans="1:255" x14ac:dyDescent="0.25">
      <c r="A44" s="118" t="s">
        <v>52</v>
      </c>
      <c r="B44" s="103">
        <f>[1]KESZI!$D$90</f>
        <v>82898132</v>
      </c>
      <c r="C44" s="103">
        <f>'[2]KESZI 2016.12.12.'!$G$111</f>
        <v>82888885</v>
      </c>
      <c r="D44" s="103">
        <f>'[2]KESZI 2016.12.12.'!$G$111+2606040-567524</f>
        <v>84927401</v>
      </c>
      <c r="E44" s="103">
        <f t="shared" si="0"/>
        <v>2038516</v>
      </c>
    </row>
    <row r="45" spans="1:255" x14ac:dyDescent="0.25">
      <c r="A45" s="119" t="s">
        <v>53</v>
      </c>
      <c r="B45" s="103">
        <f>[1]KESZI!$D$91</f>
        <v>19795000</v>
      </c>
      <c r="C45" s="103">
        <f>'[2]KESZI 2016.12.12.'!$G$112</f>
        <v>33582000</v>
      </c>
      <c r="D45" s="103">
        <f>'[2]KESZI 2016.12.12.'!$G$112</f>
        <v>33582000</v>
      </c>
      <c r="E45" s="103">
        <f t="shared" si="0"/>
        <v>0</v>
      </c>
    </row>
    <row r="46" spans="1:255" x14ac:dyDescent="0.25">
      <c r="A46" s="102" t="s">
        <v>54</v>
      </c>
      <c r="B46" s="111">
        <f>[1]KESZI!$D$105</f>
        <v>93047238</v>
      </c>
      <c r="C46" s="111">
        <f>[2]Társulás!$E$55</f>
        <v>78493074</v>
      </c>
      <c r="D46" s="111">
        <f>64494984+567524+4691878+908906</f>
        <v>70663292</v>
      </c>
      <c r="E46" s="103">
        <f t="shared" si="0"/>
        <v>-7829782</v>
      </c>
    </row>
    <row r="47" spans="1:255" x14ac:dyDescent="0.25">
      <c r="A47" s="104" t="s">
        <v>55</v>
      </c>
      <c r="B47" s="108">
        <v>13005120</v>
      </c>
      <c r="C47" s="108">
        <f>'[2]KESZI 2016.12.12.'!$G$113</f>
        <v>17450784</v>
      </c>
      <c r="D47" s="108">
        <f>'[2]KESZI 2016.12.12.'!$G$113</f>
        <v>17450784</v>
      </c>
      <c r="E47" s="103">
        <f t="shared" si="0"/>
        <v>0</v>
      </c>
    </row>
    <row r="48" spans="1:255" customFormat="1" x14ac:dyDescent="0.25">
      <c r="A48" s="106" t="s">
        <v>137</v>
      </c>
      <c r="B48" s="111">
        <v>0</v>
      </c>
      <c r="C48" s="111">
        <f>'[2]KESZI 2016.12.12.'!$G$118</f>
        <v>42317678</v>
      </c>
      <c r="D48" s="111">
        <v>42317678</v>
      </c>
      <c r="E48" s="103">
        <f t="shared" si="0"/>
        <v>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5" customFormat="1" x14ac:dyDescent="0.25">
      <c r="A49" s="106" t="s">
        <v>147</v>
      </c>
      <c r="B49" s="111">
        <v>8608467</v>
      </c>
      <c r="C49" s="111">
        <f>388995032-378646831</f>
        <v>10348201</v>
      </c>
      <c r="D49" s="111">
        <f>388995032-378646831</f>
        <v>10348201</v>
      </c>
      <c r="E49" s="103">
        <f t="shared" si="0"/>
        <v>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spans="1:255" s="84" customFormat="1" x14ac:dyDescent="0.25">
      <c r="A50" s="106" t="s">
        <v>99</v>
      </c>
      <c r="B50" s="111"/>
      <c r="C50" s="111"/>
      <c r="D50" s="111">
        <v>3144032</v>
      </c>
      <c r="E50" s="103">
        <f t="shared" si="0"/>
        <v>3144032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spans="1:255" s="84" customFormat="1" x14ac:dyDescent="0.25">
      <c r="A51" s="106" t="s">
        <v>140</v>
      </c>
      <c r="B51" s="111"/>
      <c r="C51" s="111"/>
      <c r="D51" s="111">
        <v>1080310</v>
      </c>
      <c r="E51" s="103">
        <f t="shared" si="0"/>
        <v>1080310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spans="1:255" s="84" customFormat="1" x14ac:dyDescent="0.25">
      <c r="A52" s="106" t="s">
        <v>141</v>
      </c>
      <c r="B52" s="111"/>
      <c r="C52" s="111"/>
      <c r="D52" s="111">
        <v>857366</v>
      </c>
      <c r="E52" s="103">
        <f t="shared" si="0"/>
        <v>857366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spans="1:255" s="124" customFormat="1" x14ac:dyDescent="0.25">
      <c r="A53" s="106" t="s">
        <v>159</v>
      </c>
      <c r="B53" s="111"/>
      <c r="C53" s="111"/>
      <c r="D53" s="111">
        <f>13430566-4691878-908906</f>
        <v>7829782</v>
      </c>
      <c r="E53" s="103">
        <f t="shared" si="0"/>
        <v>7829782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</row>
    <row r="54" spans="1:255" customFormat="1" x14ac:dyDescent="0.25">
      <c r="A54" s="48"/>
      <c r="B54" s="107">
        <f>SUM(B38:B52)</f>
        <v>338722697</v>
      </c>
      <c r="C54" s="107">
        <f>SUM(C38:C52)</f>
        <v>388995032</v>
      </c>
      <c r="D54" s="107">
        <f>SUM(D38:D53)</f>
        <v>399874159</v>
      </c>
      <c r="E54" s="107">
        <f>SUM(E38:E53)</f>
        <v>10879127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spans="1:255" customForma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</row>
    <row r="56" spans="1:255" x14ac:dyDescent="0.25">
      <c r="A56" s="84" t="s">
        <v>153</v>
      </c>
    </row>
  </sheetData>
  <mergeCells count="5"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0"/>
  <sheetViews>
    <sheetView topLeftCell="A35" workbookViewId="0">
      <selection activeCell="D34" sqref="D34:D35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3.5" style="1" customWidth="1"/>
    <col min="5" max="5" width="12.25" style="1" customWidth="1"/>
    <col min="6" max="6" width="12.5" style="1" customWidth="1"/>
    <col min="7" max="16384" width="8.75" style="1"/>
  </cols>
  <sheetData>
    <row r="1" spans="1:254" x14ac:dyDescent="0.25">
      <c r="B1" s="127" t="s">
        <v>56</v>
      </c>
      <c r="C1" s="127"/>
    </row>
    <row r="2" spans="1:254" x14ac:dyDescent="0.25">
      <c r="B2" s="2"/>
    </row>
    <row r="3" spans="1:254" x14ac:dyDescent="0.25">
      <c r="A3" s="127" t="s">
        <v>1</v>
      </c>
      <c r="B3" s="127"/>
      <c r="C3" s="127"/>
    </row>
    <row r="4" spans="1:254" x14ac:dyDescent="0.25">
      <c r="A4" s="127" t="s">
        <v>144</v>
      </c>
      <c r="B4" s="127"/>
      <c r="C4" s="127"/>
    </row>
    <row r="5" spans="1:254" ht="15.75" x14ac:dyDescent="0.25">
      <c r="A5" s="131" t="s">
        <v>13</v>
      </c>
      <c r="B5" s="131"/>
      <c r="C5" s="131"/>
    </row>
    <row r="6" spans="1:254" ht="15.75" x14ac:dyDescent="0.25">
      <c r="A6" s="131" t="s">
        <v>14</v>
      </c>
      <c r="B6" s="131"/>
      <c r="C6" s="131"/>
    </row>
    <row r="8" spans="1:254" ht="15.75" x14ac:dyDescent="0.25">
      <c r="B8" s="12"/>
      <c r="C8" s="12" t="s">
        <v>41</v>
      </c>
    </row>
    <row r="9" spans="1:254" ht="15.75" customHeight="1" x14ac:dyDescent="0.25">
      <c r="A9" s="132" t="s">
        <v>104</v>
      </c>
      <c r="B9" s="132"/>
      <c r="C9" s="132"/>
    </row>
    <row r="10" spans="1:254" ht="15.75" x14ac:dyDescent="0.25">
      <c r="A10" s="14" t="s">
        <v>6</v>
      </c>
      <c r="B10" s="33" t="s">
        <v>17</v>
      </c>
      <c r="C10" s="86" t="s">
        <v>97</v>
      </c>
    </row>
    <row r="11" spans="1:254" ht="33" customHeight="1" x14ac:dyDescent="0.25">
      <c r="A11" s="15"/>
      <c r="B11" s="34" t="s">
        <v>122</v>
      </c>
      <c r="C11" s="87" t="s">
        <v>123</v>
      </c>
    </row>
    <row r="12" spans="1:254" ht="15.75" x14ac:dyDescent="0.25">
      <c r="A12" s="17" t="s">
        <v>19</v>
      </c>
      <c r="B12" s="18">
        <v>141381508</v>
      </c>
      <c r="C12" s="18">
        <v>148977160</v>
      </c>
    </row>
    <row r="13" spans="1:254" ht="15.75" x14ac:dyDescent="0.25">
      <c r="A13" s="17" t="s">
        <v>20</v>
      </c>
      <c r="B13" s="18">
        <v>32227057</v>
      </c>
      <c r="C13" s="18">
        <v>33913672</v>
      </c>
    </row>
    <row r="14" spans="1:254" ht="15.75" x14ac:dyDescent="0.25">
      <c r="A14" s="17" t="s">
        <v>21</v>
      </c>
      <c r="B14" s="18">
        <v>26640000</v>
      </c>
      <c r="C14" s="18">
        <v>26010000</v>
      </c>
    </row>
    <row r="15" spans="1:254" ht="15.75" x14ac:dyDescent="0.25">
      <c r="A15" s="17" t="s">
        <v>100</v>
      </c>
      <c r="B15" s="18">
        <v>420000</v>
      </c>
      <c r="C15" s="18">
        <v>420000</v>
      </c>
    </row>
    <row r="16" spans="1:254" customFormat="1" ht="15.75" x14ac:dyDescent="0.25">
      <c r="A16" s="17" t="s">
        <v>101</v>
      </c>
      <c r="B16" s="18">
        <v>0</v>
      </c>
      <c r="C16" s="18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4" ht="15.75" x14ac:dyDescent="0.25">
      <c r="A17" s="17" t="s">
        <v>23</v>
      </c>
      <c r="B17" s="18">
        <v>0</v>
      </c>
      <c r="C17" s="18">
        <v>1896698</v>
      </c>
    </row>
    <row r="18" spans="1:4" ht="15.75" x14ac:dyDescent="0.25">
      <c r="A18" s="20" t="s">
        <v>25</v>
      </c>
      <c r="B18" s="21">
        <f>SUM(B12:B17)</f>
        <v>200668565</v>
      </c>
      <c r="C18" s="21">
        <f>SUM(C12:C17)</f>
        <v>211217530</v>
      </c>
    </row>
    <row r="19" spans="1:4" ht="15.75" x14ac:dyDescent="0.25">
      <c r="A19" s="26" t="s">
        <v>29</v>
      </c>
      <c r="B19" s="23">
        <f>B18</f>
        <v>200668565</v>
      </c>
      <c r="C19" s="23">
        <f>C18</f>
        <v>211217530</v>
      </c>
    </row>
    <row r="20" spans="1:4" ht="15.75" x14ac:dyDescent="0.25">
      <c r="A20" s="27"/>
      <c r="B20" s="25"/>
      <c r="C20" s="25"/>
    </row>
    <row r="21" spans="1:4" ht="15.75" x14ac:dyDescent="0.25">
      <c r="A21" s="17" t="s">
        <v>30</v>
      </c>
      <c r="B21" s="19">
        <v>2300000</v>
      </c>
      <c r="C21" s="19">
        <v>2300000</v>
      </c>
    </row>
    <row r="22" spans="1:4" ht="15.75" x14ac:dyDescent="0.25">
      <c r="A22" s="17" t="s">
        <v>32</v>
      </c>
      <c r="B22" s="18">
        <v>0</v>
      </c>
      <c r="C22" s="18">
        <v>0</v>
      </c>
    </row>
    <row r="23" spans="1:4" ht="15.75" x14ac:dyDescent="0.25">
      <c r="A23" s="17" t="s">
        <v>33</v>
      </c>
      <c r="B23" s="18">
        <v>0</v>
      </c>
      <c r="C23" s="18">
        <v>0</v>
      </c>
    </row>
    <row r="24" spans="1:4" ht="15.75" x14ac:dyDescent="0.25">
      <c r="A24" s="17" t="s">
        <v>34</v>
      </c>
      <c r="B24" s="18">
        <v>700000</v>
      </c>
      <c r="C24" s="18">
        <v>700000</v>
      </c>
    </row>
    <row r="25" spans="1:4" ht="15.75" x14ac:dyDescent="0.25">
      <c r="A25" s="17" t="s">
        <v>35</v>
      </c>
      <c r="B25" s="18">
        <v>0</v>
      </c>
      <c r="C25" s="18">
        <v>0</v>
      </c>
    </row>
    <row r="26" spans="1:4" ht="15.75" x14ac:dyDescent="0.25">
      <c r="A26" s="17" t="s">
        <v>58</v>
      </c>
      <c r="B26" s="18">
        <v>194668565</v>
      </c>
      <c r="C26" s="18">
        <v>204308624</v>
      </c>
    </row>
    <row r="27" spans="1:4" ht="15.75" x14ac:dyDescent="0.25">
      <c r="A27" s="17" t="s">
        <v>36</v>
      </c>
      <c r="B27" s="18">
        <v>0</v>
      </c>
      <c r="C27" s="18">
        <v>0</v>
      </c>
    </row>
    <row r="28" spans="1:4" ht="15.75" x14ac:dyDescent="0.25">
      <c r="A28" s="20" t="s">
        <v>37</v>
      </c>
      <c r="B28" s="21">
        <f>SUM(B27,B26,B24,B21)</f>
        <v>197668565</v>
      </c>
      <c r="C28" s="21">
        <f>SUM(C27,C26,C24,C21)</f>
        <v>207308624</v>
      </c>
    </row>
    <row r="29" spans="1:4" ht="15.75" x14ac:dyDescent="0.25">
      <c r="A29" s="17" t="s">
        <v>98</v>
      </c>
      <c r="B29" s="18">
        <v>3000000</v>
      </c>
      <c r="C29" s="18">
        <v>3908906</v>
      </c>
    </row>
    <row r="30" spans="1:4" ht="15.75" x14ac:dyDescent="0.25">
      <c r="A30" s="28" t="s">
        <v>39</v>
      </c>
      <c r="B30" s="23">
        <f>SUM(B28+B29)</f>
        <v>200668565</v>
      </c>
      <c r="C30" s="23">
        <f>SUM(C28+C29)</f>
        <v>211217530</v>
      </c>
    </row>
    <row r="32" spans="1:4" ht="30" x14ac:dyDescent="0.25">
      <c r="A32" s="99" t="s">
        <v>138</v>
      </c>
      <c r="B32" s="49" t="s">
        <v>44</v>
      </c>
      <c r="C32" s="48"/>
      <c r="D32" s="48"/>
    </row>
    <row r="33" spans="1:255" customFormat="1" ht="30" x14ac:dyDescent="0.25">
      <c r="A33" s="99"/>
      <c r="B33" s="112" t="s">
        <v>143</v>
      </c>
      <c r="C33" s="113" t="s">
        <v>139</v>
      </c>
      <c r="D33" s="112" t="s">
        <v>103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5" x14ac:dyDescent="0.25">
      <c r="A34" s="100" t="s">
        <v>59</v>
      </c>
      <c r="B34" s="133">
        <v>79200000</v>
      </c>
      <c r="C34" s="136">
        <v>79200000</v>
      </c>
      <c r="D34" s="135">
        <f>C34-B34</f>
        <v>0</v>
      </c>
    </row>
    <row r="35" spans="1:255" x14ac:dyDescent="0.25">
      <c r="A35" s="100" t="s">
        <v>134</v>
      </c>
      <c r="B35" s="134"/>
      <c r="C35" s="137"/>
      <c r="D35" s="135"/>
    </row>
    <row r="36" spans="1:255" x14ac:dyDescent="0.25">
      <c r="A36" s="100" t="s">
        <v>135</v>
      </c>
      <c r="B36" s="101">
        <f>'[2]CSGYK 2016.11.23'!$F$86</f>
        <v>5716475</v>
      </c>
      <c r="C36" s="109">
        <f>5716475+567524</f>
        <v>6283999</v>
      </c>
      <c r="D36" s="115">
        <f>C36-B36</f>
        <v>567524</v>
      </c>
    </row>
    <row r="37" spans="1:255" customFormat="1" x14ac:dyDescent="0.25">
      <c r="A37" s="102" t="s">
        <v>54</v>
      </c>
      <c r="B37" s="103">
        <f>'[2]CSGYK 2016.11.23'!$F$106</f>
        <v>78217295</v>
      </c>
      <c r="C37" s="109">
        <v>78217295</v>
      </c>
      <c r="D37" s="115">
        <f t="shared" ref="D37:D44" si="0">C37-B37</f>
        <v>0</v>
      </c>
      <c r="E37" s="4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5" s="46" customFormat="1" x14ac:dyDescent="0.25">
      <c r="A38" s="104" t="s">
        <v>136</v>
      </c>
      <c r="B38" s="105">
        <f>'[2]CSGYK 2016.11.23'!$F$105</f>
        <v>7732500</v>
      </c>
      <c r="C38" s="110">
        <f>7732500-908906</f>
        <v>6823594</v>
      </c>
      <c r="D38" s="115">
        <f t="shared" si="0"/>
        <v>-908906</v>
      </c>
      <c r="E38" s="4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5" customFormat="1" x14ac:dyDescent="0.25">
      <c r="A39" s="106" t="s">
        <v>137</v>
      </c>
      <c r="B39" s="103">
        <f>'[2]CSGYK 2016.11.23'!$F$104</f>
        <v>23802295</v>
      </c>
      <c r="C39" s="109">
        <v>23802295</v>
      </c>
      <c r="D39" s="115">
        <f t="shared" si="0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5" s="84" customFormat="1" x14ac:dyDescent="0.25">
      <c r="A40" s="106" t="s">
        <v>99</v>
      </c>
      <c r="B40" s="103"/>
      <c r="C40" s="109">
        <v>2499577</v>
      </c>
      <c r="D40" s="115">
        <f t="shared" si="0"/>
        <v>2499577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5" s="84" customFormat="1" x14ac:dyDescent="0.25">
      <c r="A41" s="106" t="s">
        <v>140</v>
      </c>
      <c r="B41" s="103"/>
      <c r="C41" s="109">
        <v>392840</v>
      </c>
      <c r="D41" s="115">
        <f t="shared" si="0"/>
        <v>392840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5" s="84" customFormat="1" x14ac:dyDescent="0.25">
      <c r="A42" s="106" t="s">
        <v>141</v>
      </c>
      <c r="B42" s="103"/>
      <c r="C42" s="109">
        <v>221542</v>
      </c>
      <c r="D42" s="115">
        <f t="shared" si="0"/>
        <v>221542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5" s="84" customFormat="1" x14ac:dyDescent="0.25">
      <c r="A43" s="106" t="s">
        <v>142</v>
      </c>
      <c r="B43" s="103"/>
      <c r="C43" s="109">
        <v>1266698</v>
      </c>
      <c r="D43" s="116">
        <f t="shared" si="0"/>
        <v>1266698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5" s="124" customFormat="1" x14ac:dyDescent="0.25">
      <c r="A44" s="106" t="s">
        <v>159</v>
      </c>
      <c r="B44" s="103"/>
      <c r="C44" s="109">
        <f>4691878+908906</f>
        <v>5600784</v>
      </c>
      <c r="D44" s="125">
        <f t="shared" si="0"/>
        <v>5600784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5" customFormat="1" x14ac:dyDescent="0.25">
      <c r="A45" s="48" t="s">
        <v>60</v>
      </c>
      <c r="B45" s="107">
        <f>SUM(B34:B39)</f>
        <v>194668565</v>
      </c>
      <c r="C45" s="35">
        <f>SUM(C34:C44)</f>
        <v>204308624</v>
      </c>
      <c r="D45" s="114">
        <f>SUM(D36:D44)</f>
        <v>9640059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5" customForma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spans="1:255" customFormat="1" x14ac:dyDescent="0.25">
      <c r="A47" s="46" t="s">
        <v>153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9" spans="3:6" x14ac:dyDescent="0.25">
      <c r="C49" s="40"/>
    </row>
    <row r="50" spans="3:6" x14ac:dyDescent="0.25">
      <c r="F50" s="40"/>
    </row>
  </sheetData>
  <mergeCells count="9">
    <mergeCell ref="B34:B35"/>
    <mergeCell ref="D34:D35"/>
    <mergeCell ref="C34:C35"/>
    <mergeCell ref="A9:C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opLeftCell="A8" workbookViewId="0">
      <selection activeCell="D21" sqref="D21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8.75" style="1"/>
    <col min="6" max="6" width="10.625" style="1" bestFit="1" customWidth="1"/>
    <col min="7" max="7" width="9.75" style="1" bestFit="1" customWidth="1"/>
    <col min="8" max="16384" width="8.75" style="1"/>
  </cols>
  <sheetData>
    <row r="1" spans="1:3" x14ac:dyDescent="0.25">
      <c r="B1" s="127" t="s">
        <v>61</v>
      </c>
      <c r="C1" s="127"/>
    </row>
    <row r="2" spans="1:3" x14ac:dyDescent="0.25">
      <c r="B2" s="2"/>
    </row>
    <row r="3" spans="1:3" x14ac:dyDescent="0.25">
      <c r="A3" s="127" t="s">
        <v>1</v>
      </c>
      <c r="B3" s="127"/>
      <c r="C3" s="127"/>
    </row>
    <row r="4" spans="1:3" x14ac:dyDescent="0.25">
      <c r="A4" s="127" t="s">
        <v>121</v>
      </c>
      <c r="B4" s="127"/>
      <c r="C4" s="127"/>
    </row>
    <row r="5" spans="1:3" ht="15.75" x14ac:dyDescent="0.25">
      <c r="A5" s="131" t="s">
        <v>13</v>
      </c>
      <c r="B5" s="131"/>
      <c r="C5" s="131"/>
    </row>
    <row r="6" spans="1:3" ht="15.75" x14ac:dyDescent="0.25">
      <c r="A6" s="131" t="s">
        <v>14</v>
      </c>
      <c r="B6" s="131"/>
      <c r="C6" s="131"/>
    </row>
    <row r="7" spans="1:3" x14ac:dyDescent="0.25">
      <c r="C7" s="83" t="s">
        <v>124</v>
      </c>
    </row>
    <row r="8" spans="1:3" ht="31.5" x14ac:dyDescent="0.25">
      <c r="B8" s="12"/>
      <c r="C8" s="36" t="s">
        <v>62</v>
      </c>
    </row>
    <row r="9" spans="1:3" ht="15.75" customHeight="1" x14ac:dyDescent="0.25">
      <c r="A9" s="132" t="s">
        <v>8</v>
      </c>
      <c r="B9" s="132"/>
      <c r="C9" s="132"/>
    </row>
    <row r="10" spans="1:3" ht="15.75" x14ac:dyDescent="0.25">
      <c r="A10" s="14" t="s">
        <v>6</v>
      </c>
      <c r="B10" s="33" t="s">
        <v>17</v>
      </c>
      <c r="C10" s="86" t="s">
        <v>97</v>
      </c>
    </row>
    <row r="11" spans="1:3" ht="33" customHeight="1" x14ac:dyDescent="0.25">
      <c r="A11" s="15"/>
      <c r="B11" s="34" t="s">
        <v>122</v>
      </c>
      <c r="C11" s="87" t="s">
        <v>123</v>
      </c>
    </row>
    <row r="12" spans="1:3" ht="15.75" x14ac:dyDescent="0.25">
      <c r="A12" s="17" t="s">
        <v>19</v>
      </c>
      <c r="B12" s="47">
        <v>500000</v>
      </c>
      <c r="C12" s="88">
        <v>500000</v>
      </c>
    </row>
    <row r="13" spans="1:3" ht="15.75" x14ac:dyDescent="0.25">
      <c r="A13" s="17" t="s">
        <v>20</v>
      </c>
      <c r="B13" s="47">
        <v>249000</v>
      </c>
      <c r="C13" s="88">
        <v>249000</v>
      </c>
    </row>
    <row r="14" spans="1:3" ht="15.75" x14ac:dyDescent="0.25">
      <c r="A14" s="17" t="s">
        <v>21</v>
      </c>
      <c r="B14" s="47">
        <v>11812368</v>
      </c>
      <c r="C14" s="88">
        <v>11812368</v>
      </c>
    </row>
    <row r="15" spans="1:3" ht="15.75" x14ac:dyDescent="0.25">
      <c r="A15" s="17" t="s">
        <v>22</v>
      </c>
      <c r="B15" s="47">
        <v>6340000</v>
      </c>
      <c r="C15" s="88">
        <v>6340000</v>
      </c>
    </row>
    <row r="16" spans="1:3" ht="15.75" x14ac:dyDescent="0.25">
      <c r="A16" s="17" t="s">
        <v>102</v>
      </c>
      <c r="B16" s="47">
        <v>0</v>
      </c>
      <c r="C16" s="88">
        <v>0</v>
      </c>
    </row>
    <row r="17" spans="1:6" ht="15.75" x14ac:dyDescent="0.25">
      <c r="A17" s="17" t="s">
        <v>63</v>
      </c>
      <c r="B17" s="47">
        <v>583663597</v>
      </c>
      <c r="C17" s="88">
        <v>604182783</v>
      </c>
    </row>
    <row r="18" spans="1:6" ht="15.75" x14ac:dyDescent="0.25">
      <c r="A18" s="17" t="s">
        <v>23</v>
      </c>
      <c r="B18" s="47">
        <v>235000000</v>
      </c>
      <c r="C18" s="88">
        <v>235000000</v>
      </c>
    </row>
    <row r="19" spans="1:6" ht="15.75" x14ac:dyDescent="0.25">
      <c r="A19" s="17" t="s">
        <v>24</v>
      </c>
      <c r="B19" s="19">
        <v>0</v>
      </c>
      <c r="C19" s="88">
        <v>0</v>
      </c>
    </row>
    <row r="20" spans="1:6" ht="15.75" x14ac:dyDescent="0.25">
      <c r="A20" s="20" t="s">
        <v>25</v>
      </c>
      <c r="B20" s="21">
        <f>SUM(B12:B19)</f>
        <v>837564965</v>
      </c>
      <c r="C20" s="89">
        <f>SUM(C12:C19)</f>
        <v>858084151</v>
      </c>
    </row>
    <row r="21" spans="1:6" ht="15.75" x14ac:dyDescent="0.25">
      <c r="A21" s="17" t="s">
        <v>26</v>
      </c>
      <c r="B21" s="19">
        <v>21770799</v>
      </c>
      <c r="C21" s="88">
        <v>20306848</v>
      </c>
      <c r="E21" s="40"/>
      <c r="F21" s="40"/>
    </row>
    <row r="22" spans="1:6" ht="15.75" x14ac:dyDescent="0.25">
      <c r="A22" s="26" t="s">
        <v>29</v>
      </c>
      <c r="B22" s="24">
        <f>SUM(B20+B21)</f>
        <v>859335764</v>
      </c>
      <c r="C22" s="90">
        <f>SUM(C20+C21)</f>
        <v>878390999</v>
      </c>
    </row>
    <row r="23" spans="1:6" ht="15.75" x14ac:dyDescent="0.25">
      <c r="A23" s="27"/>
      <c r="B23" s="25"/>
      <c r="C23" s="91"/>
    </row>
    <row r="24" spans="1:6" ht="15.75" x14ac:dyDescent="0.25">
      <c r="A24" s="17" t="s">
        <v>30</v>
      </c>
      <c r="B24" s="47">
        <v>10090368</v>
      </c>
      <c r="C24" s="88">
        <v>10090368</v>
      </c>
    </row>
    <row r="25" spans="1:6" ht="15.75" x14ac:dyDescent="0.25">
      <c r="A25" s="17" t="s">
        <v>31</v>
      </c>
      <c r="B25" s="47">
        <v>0</v>
      </c>
      <c r="C25" s="88">
        <v>0</v>
      </c>
    </row>
    <row r="26" spans="1:6" ht="15.75" x14ac:dyDescent="0.25">
      <c r="A26" s="17" t="s">
        <v>32</v>
      </c>
      <c r="B26" s="47">
        <v>235000000</v>
      </c>
      <c r="C26" s="88">
        <v>235000000</v>
      </c>
    </row>
    <row r="27" spans="1:6" ht="15.75" x14ac:dyDescent="0.25">
      <c r="A27" s="17" t="s">
        <v>33</v>
      </c>
      <c r="B27" s="47">
        <v>0</v>
      </c>
      <c r="C27" s="88">
        <v>0</v>
      </c>
    </row>
    <row r="28" spans="1:6" ht="15.75" x14ac:dyDescent="0.25">
      <c r="A28" s="17" t="s">
        <v>34</v>
      </c>
      <c r="B28" s="47">
        <v>604245396</v>
      </c>
      <c r="C28" s="88">
        <v>622383929</v>
      </c>
    </row>
    <row r="29" spans="1:6" ht="15.75" x14ac:dyDescent="0.25">
      <c r="A29" s="17" t="s">
        <v>35</v>
      </c>
      <c r="B29" s="47">
        <f>'2B'!C38+'2B'!C39+'2B'!C40+'2B'!C41+'2B'!C42+'2B'!C43+'2B'!C44+'2B'!C45+'2C'!B34+'2C'!B36</f>
        <v>325301770</v>
      </c>
      <c r="C29" s="88">
        <f>'2B'!D38+'2B'!D39+'2B'!D40+'2B'!D41+'2B'!D42+'2B'!D43+'2B'!D44+'2B'!D45+'2C'!C34+'2C'!C36</f>
        <v>331666713</v>
      </c>
    </row>
    <row r="30" spans="1:6" ht="15.75" x14ac:dyDescent="0.25">
      <c r="A30" s="17" t="s">
        <v>58</v>
      </c>
      <c r="B30" s="47">
        <v>0</v>
      </c>
      <c r="C30" s="88">
        <v>0</v>
      </c>
    </row>
    <row r="31" spans="1:6" ht="15.75" x14ac:dyDescent="0.25">
      <c r="A31" s="17" t="s">
        <v>36</v>
      </c>
      <c r="B31" s="47">
        <v>0</v>
      </c>
      <c r="C31" s="88">
        <v>0</v>
      </c>
    </row>
    <row r="32" spans="1:6" ht="15.75" x14ac:dyDescent="0.25">
      <c r="A32" s="20" t="s">
        <v>37</v>
      </c>
      <c r="B32" s="21">
        <f>SUM(B24+B25+B26+B28+B30+B31)</f>
        <v>849335764</v>
      </c>
      <c r="C32" s="89">
        <f>SUM(C24+C25+C26+C28+C30+C31)</f>
        <v>867474297</v>
      </c>
    </row>
    <row r="33" spans="1:3" ht="15.75" x14ac:dyDescent="0.25">
      <c r="A33" s="17" t="s">
        <v>98</v>
      </c>
      <c r="B33" s="18">
        <v>10000000</v>
      </c>
      <c r="C33" s="88">
        <v>10916702</v>
      </c>
    </row>
    <row r="34" spans="1:3" ht="15.75" x14ac:dyDescent="0.25">
      <c r="A34" s="28" t="s">
        <v>39</v>
      </c>
      <c r="B34" s="23">
        <f>B32+B33</f>
        <v>859335764</v>
      </c>
      <c r="C34" s="90">
        <f>C32+C33</f>
        <v>878390999</v>
      </c>
    </row>
    <row r="36" spans="1:3" x14ac:dyDescent="0.25">
      <c r="A36" s="46" t="s">
        <v>153</v>
      </c>
    </row>
    <row r="37" spans="1:3" x14ac:dyDescent="0.25">
      <c r="A37"/>
    </row>
    <row r="38" spans="1:3" x14ac:dyDescent="0.25">
      <c r="A38"/>
    </row>
  </sheetData>
  <mergeCells count="6">
    <mergeCell ref="A9:C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workbookViewId="0">
      <selection activeCell="A16" sqref="A16"/>
    </sheetView>
  </sheetViews>
  <sheetFormatPr defaultRowHeight="15" x14ac:dyDescent="0.25"/>
  <cols>
    <col min="1" max="1" width="31.5" style="48" customWidth="1"/>
    <col min="2" max="2" width="15.75" style="48" customWidth="1"/>
    <col min="3" max="3" width="14.25" style="48" customWidth="1"/>
    <col min="4" max="4" width="15.25" style="48" customWidth="1"/>
    <col min="5" max="5" width="18.75" style="48" customWidth="1"/>
    <col min="6" max="6" width="14.625" style="48" customWidth="1"/>
    <col min="7" max="7" width="20.875" style="48" customWidth="1"/>
    <col min="8" max="8" width="15.125" style="48" customWidth="1"/>
    <col min="9" max="9" width="13.25" style="48" customWidth="1"/>
    <col min="10" max="1024" width="9.375" style="48" customWidth="1"/>
    <col min="1025" max="1025" width="9" style="46" customWidth="1"/>
    <col min="1026" max="16384" width="9" style="46"/>
  </cols>
  <sheetData>
    <row r="1" spans="1:1024" x14ac:dyDescent="0.25">
      <c r="B1" s="129"/>
      <c r="C1" s="129"/>
      <c r="F1" s="49"/>
      <c r="G1" s="49" t="s">
        <v>156</v>
      </c>
    </row>
    <row r="2" spans="1:1024" x14ac:dyDescent="0.25">
      <c r="A2" s="138" t="s">
        <v>1</v>
      </c>
      <c r="B2" s="138"/>
      <c r="C2" s="138"/>
      <c r="D2" s="138"/>
      <c r="E2" s="138"/>
      <c r="F2" s="138"/>
      <c r="G2" s="138"/>
      <c r="H2" s="138"/>
    </row>
    <row r="3" spans="1:1024" x14ac:dyDescent="0.25">
      <c r="A3" s="138" t="s">
        <v>105</v>
      </c>
      <c r="B3" s="138"/>
      <c r="C3" s="138"/>
      <c r="D3" s="138"/>
      <c r="E3" s="138"/>
      <c r="F3" s="138"/>
      <c r="G3" s="138"/>
      <c r="H3" s="138"/>
    </row>
    <row r="4" spans="1:1024" x14ac:dyDescent="0.25">
      <c r="A4" s="50"/>
      <c r="B4" s="50"/>
      <c r="C4" s="50"/>
      <c r="D4" s="50"/>
      <c r="E4" s="50"/>
      <c r="F4" s="50"/>
      <c r="G4" s="50"/>
      <c r="H4" s="50"/>
    </row>
    <row r="5" spans="1:1024" x14ac:dyDescent="0.25">
      <c r="A5" s="138" t="s">
        <v>106</v>
      </c>
      <c r="B5" s="138"/>
      <c r="C5" s="138"/>
      <c r="D5" s="138"/>
      <c r="E5" s="138"/>
      <c r="F5" s="138"/>
      <c r="G5" s="138"/>
      <c r="H5" s="138"/>
    </row>
    <row r="6" spans="1:1024" x14ac:dyDescent="0.25">
      <c r="A6" s="138" t="s">
        <v>107</v>
      </c>
      <c r="B6" s="138"/>
      <c r="C6" s="138"/>
      <c r="D6" s="138"/>
      <c r="E6" s="138"/>
      <c r="F6" s="138"/>
      <c r="G6" s="138"/>
      <c r="H6" s="138"/>
    </row>
    <row r="7" spans="1:1024" x14ac:dyDescent="0.25">
      <c r="A7" s="138" t="s">
        <v>14</v>
      </c>
      <c r="B7" s="138"/>
      <c r="C7" s="138"/>
      <c r="D7" s="138"/>
      <c r="E7" s="138"/>
      <c r="F7" s="138"/>
      <c r="G7" s="138"/>
      <c r="H7" s="138"/>
    </row>
    <row r="8" spans="1:1024" x14ac:dyDescent="0.25">
      <c r="A8" s="49" t="s">
        <v>110</v>
      </c>
    </row>
    <row r="9" spans="1:1024" x14ac:dyDescent="0.25">
      <c r="A9" s="49"/>
    </row>
    <row r="10" spans="1:1024" ht="30" x14ac:dyDescent="0.25">
      <c r="A10" s="49" t="s">
        <v>64</v>
      </c>
      <c r="B10" s="51" t="s">
        <v>19</v>
      </c>
      <c r="C10" s="49" t="s">
        <v>65</v>
      </c>
      <c r="D10" s="49" t="s">
        <v>66</v>
      </c>
      <c r="E10" s="51" t="s">
        <v>67</v>
      </c>
      <c r="F10" s="49" t="s">
        <v>68</v>
      </c>
      <c r="G10" s="51" t="s">
        <v>69</v>
      </c>
      <c r="H10" s="49" t="s">
        <v>60</v>
      </c>
      <c r="AMJ10" s="46"/>
    </row>
    <row r="11" spans="1:1024" ht="30" x14ac:dyDescent="0.25">
      <c r="A11" s="52" t="s">
        <v>10</v>
      </c>
      <c r="B11" s="53">
        <f>'2B'!C12</f>
        <v>406705000</v>
      </c>
      <c r="C11" s="53">
        <f>'2B'!C13</f>
        <v>98000400</v>
      </c>
      <c r="D11" s="53">
        <f>'2B'!C14</f>
        <v>193270000</v>
      </c>
      <c r="E11" s="53">
        <f>'2B'!C15</f>
        <v>850000</v>
      </c>
      <c r="F11" s="53">
        <v>0</v>
      </c>
      <c r="G11" s="53">
        <v>0</v>
      </c>
      <c r="H11" s="53">
        <f>SUM(B11:G11)</f>
        <v>698825400</v>
      </c>
      <c r="AMJ11" s="46"/>
    </row>
    <row r="12" spans="1:1024" ht="15.75" x14ac:dyDescent="0.25">
      <c r="A12" s="52" t="s">
        <v>108</v>
      </c>
      <c r="B12" s="53">
        <f>'2C'!B12</f>
        <v>141381508</v>
      </c>
      <c r="C12" s="53">
        <f>'2C'!B13</f>
        <v>32227057</v>
      </c>
      <c r="D12" s="53">
        <f>'2C'!B14</f>
        <v>26640000</v>
      </c>
      <c r="E12" s="53">
        <f>'2C'!B15</f>
        <v>420000</v>
      </c>
      <c r="F12" s="53">
        <v>0</v>
      </c>
      <c r="G12" s="53">
        <v>0</v>
      </c>
      <c r="H12" s="53">
        <f>SUM(B12:G12)</f>
        <v>200668565</v>
      </c>
      <c r="AMJ12" s="46"/>
    </row>
    <row r="13" spans="1:1024" ht="15.75" x14ac:dyDescent="0.25">
      <c r="A13" s="52" t="s">
        <v>8</v>
      </c>
      <c r="B13" s="53">
        <f>'2D'!B12</f>
        <v>500000</v>
      </c>
      <c r="C13" s="53">
        <f>'2D'!B13</f>
        <v>249000</v>
      </c>
      <c r="D13" s="53">
        <f>'2D'!B14</f>
        <v>11812368</v>
      </c>
      <c r="E13" s="53">
        <v>0</v>
      </c>
      <c r="F13" s="53">
        <f>'2D'!B21</f>
        <v>21770799</v>
      </c>
      <c r="G13" s="53">
        <f>'2D'!B15</f>
        <v>6340000</v>
      </c>
      <c r="H13" s="53">
        <f>SUM(B13:G13)</f>
        <v>40672167</v>
      </c>
      <c r="AMJ13" s="46"/>
    </row>
    <row r="14" spans="1:1024" x14ac:dyDescent="0.25">
      <c r="A14" s="54" t="s">
        <v>70</v>
      </c>
      <c r="B14" s="55">
        <f t="shared" ref="B14:H14" si="0">SUM(B11:B13)</f>
        <v>548586508</v>
      </c>
      <c r="C14" s="55">
        <f t="shared" si="0"/>
        <v>130476457</v>
      </c>
      <c r="D14" s="55">
        <f t="shared" si="0"/>
        <v>231722368</v>
      </c>
      <c r="E14" s="55">
        <f t="shared" si="0"/>
        <v>1270000</v>
      </c>
      <c r="F14" s="55">
        <f t="shared" si="0"/>
        <v>21770799</v>
      </c>
      <c r="G14" s="55">
        <f t="shared" si="0"/>
        <v>6340000</v>
      </c>
      <c r="H14" s="55">
        <f t="shared" si="0"/>
        <v>940166132</v>
      </c>
      <c r="AMJ14" s="46"/>
    </row>
    <row r="15" spans="1:1024" x14ac:dyDescent="0.25">
      <c r="A15" s="81"/>
      <c r="B15" s="82"/>
      <c r="C15" s="82"/>
      <c r="D15" s="82"/>
      <c r="E15" s="82"/>
      <c r="F15" s="82"/>
      <c r="G15" s="82"/>
      <c r="H15" s="82"/>
      <c r="AMJ15" s="46"/>
    </row>
    <row r="16" spans="1:1024" s="37" customFormat="1" x14ac:dyDescent="0.25">
      <c r="A16" s="49" t="s">
        <v>111</v>
      </c>
      <c r="B16" s="82"/>
      <c r="C16" s="82"/>
      <c r="D16" s="82"/>
      <c r="E16" s="82"/>
      <c r="F16" s="82"/>
      <c r="G16" s="82"/>
      <c r="H16" s="82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</row>
    <row r="17" spans="1:1024" ht="30" x14ac:dyDescent="0.25">
      <c r="A17" s="49" t="s">
        <v>64</v>
      </c>
      <c r="B17" s="51" t="s">
        <v>19</v>
      </c>
      <c r="C17" s="49" t="s">
        <v>65</v>
      </c>
      <c r="D17" s="49" t="s">
        <v>66</v>
      </c>
      <c r="E17" s="51" t="s">
        <v>67</v>
      </c>
      <c r="F17" s="49" t="s">
        <v>68</v>
      </c>
      <c r="G17" s="51" t="s">
        <v>69</v>
      </c>
      <c r="H17" s="49" t="s">
        <v>60</v>
      </c>
      <c r="AMJ17" s="46"/>
    </row>
    <row r="18" spans="1:1024" ht="30" x14ac:dyDescent="0.25">
      <c r="A18" s="52" t="s">
        <v>10</v>
      </c>
      <c r="B18" s="53">
        <f>'2B'!D12</f>
        <v>416037014</v>
      </c>
      <c r="C18" s="53">
        <f>'2B'!D13</f>
        <v>100076710</v>
      </c>
      <c r="D18" s="53">
        <f>'2B'!D14</f>
        <v>191550000</v>
      </c>
      <c r="E18" s="53">
        <f>'2B'!D15</f>
        <v>850000</v>
      </c>
      <c r="F18" s="53">
        <f>'2B'!G12</f>
        <v>0</v>
      </c>
      <c r="G18" s="53">
        <f>'2B'!H12</f>
        <v>0</v>
      </c>
      <c r="H18" s="53">
        <f>SUM(B18:G18)</f>
        <v>708513724</v>
      </c>
      <c r="AMJ18" s="46"/>
    </row>
    <row r="19" spans="1:1024" ht="15.75" x14ac:dyDescent="0.25">
      <c r="A19" s="52" t="s">
        <v>108</v>
      </c>
      <c r="B19" s="53">
        <f>'2C'!C12</f>
        <v>148977160</v>
      </c>
      <c r="C19" s="53">
        <f>'2C'!C13</f>
        <v>33913672</v>
      </c>
      <c r="D19" s="53">
        <f>'2C'!C14</f>
        <v>26010000</v>
      </c>
      <c r="E19" s="53">
        <f>'2C'!C15</f>
        <v>420000</v>
      </c>
      <c r="F19" s="53">
        <v>0</v>
      </c>
      <c r="G19" s="53">
        <v>0</v>
      </c>
      <c r="H19" s="53">
        <f>SUM(B19:G19)</f>
        <v>209320832</v>
      </c>
      <c r="AMJ19" s="46"/>
    </row>
    <row r="20" spans="1:1024" ht="15.75" x14ac:dyDescent="0.25">
      <c r="A20" s="52" t="s">
        <v>8</v>
      </c>
      <c r="B20" s="53">
        <f>'2D'!C12</f>
        <v>500000</v>
      </c>
      <c r="C20" s="53">
        <f>'2D'!C13</f>
        <v>249000</v>
      </c>
      <c r="D20" s="53">
        <f>'2D'!C14</f>
        <v>11812368</v>
      </c>
      <c r="E20" s="53">
        <v>0</v>
      </c>
      <c r="F20" s="53">
        <f>'2D'!C21</f>
        <v>20306848</v>
      </c>
      <c r="G20" s="53">
        <f>'2D'!C15</f>
        <v>6340000</v>
      </c>
      <c r="H20" s="53">
        <f>SUM(B20:G20)</f>
        <v>39208216</v>
      </c>
      <c r="AMJ20" s="46"/>
    </row>
    <row r="21" spans="1:1024" x14ac:dyDescent="0.25">
      <c r="A21" s="54" t="s">
        <v>70</v>
      </c>
      <c r="B21" s="55">
        <f t="shared" ref="B21:H21" si="1">SUM(B18:B20)</f>
        <v>565514174</v>
      </c>
      <c r="C21" s="55">
        <f t="shared" si="1"/>
        <v>134239382</v>
      </c>
      <c r="D21" s="55">
        <f t="shared" si="1"/>
        <v>229372368</v>
      </c>
      <c r="E21" s="55">
        <f t="shared" si="1"/>
        <v>1270000</v>
      </c>
      <c r="F21" s="55">
        <f t="shared" si="1"/>
        <v>20306848</v>
      </c>
      <c r="G21" s="55">
        <f t="shared" si="1"/>
        <v>6340000</v>
      </c>
      <c r="H21" s="55">
        <f t="shared" si="1"/>
        <v>957042772</v>
      </c>
      <c r="AMJ21" s="46"/>
    </row>
    <row r="22" spans="1:1024" s="37" customFormat="1" x14ac:dyDescent="0.25">
      <c r="A22" s="81"/>
      <c r="B22" s="82"/>
      <c r="C22" s="82"/>
      <c r="D22" s="82"/>
      <c r="E22" s="82"/>
      <c r="F22" s="82"/>
      <c r="G22" s="82"/>
      <c r="H22" s="82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</row>
    <row r="23" spans="1:1024" s="48" customFormat="1" x14ac:dyDescent="0.25">
      <c r="A23" s="49" t="s">
        <v>112</v>
      </c>
    </row>
    <row r="24" spans="1:1024" s="48" customFormat="1" x14ac:dyDescent="0.25"/>
    <row r="25" spans="1:1024" ht="30" x14ac:dyDescent="0.25">
      <c r="A25" s="49" t="s">
        <v>64</v>
      </c>
      <c r="B25" s="51" t="s">
        <v>71</v>
      </c>
      <c r="C25" s="51" t="s">
        <v>48</v>
      </c>
      <c r="D25" s="49" t="s">
        <v>72</v>
      </c>
      <c r="E25" s="51" t="s">
        <v>73</v>
      </c>
      <c r="F25" s="51" t="s">
        <v>74</v>
      </c>
      <c r="G25" s="51" t="s">
        <v>98</v>
      </c>
      <c r="H25" s="51" t="s">
        <v>60</v>
      </c>
      <c r="AMJ25" s="46"/>
    </row>
    <row r="26" spans="1:1024" ht="30" x14ac:dyDescent="0.25">
      <c r="A26" s="56" t="s">
        <v>10</v>
      </c>
      <c r="B26" s="53">
        <f>'2B'!C23</f>
        <v>273830368</v>
      </c>
      <c r="C26" s="57">
        <v>240385295</v>
      </c>
      <c r="D26" s="57">
        <v>78493074</v>
      </c>
      <c r="E26" s="53">
        <v>52665879</v>
      </c>
      <c r="F26" s="57">
        <v>17450784</v>
      </c>
      <c r="G26" s="57">
        <v>36000000</v>
      </c>
      <c r="H26" s="53">
        <f>SUM(B26:G26)</f>
        <v>698825400</v>
      </c>
      <c r="AMJ26" s="46"/>
    </row>
    <row r="27" spans="1:1024" ht="15.75" x14ac:dyDescent="0.25">
      <c r="A27" s="52" t="s">
        <v>108</v>
      </c>
      <c r="B27" s="53">
        <f>'2C'!B21+'2C'!B24</f>
        <v>3000000</v>
      </c>
      <c r="C27" s="57">
        <v>84916475</v>
      </c>
      <c r="D27" s="57">
        <v>78217295</v>
      </c>
      <c r="E27" s="57">
        <v>31534795</v>
      </c>
      <c r="F27" s="57">
        <v>0</v>
      </c>
      <c r="G27" s="53">
        <v>3000000</v>
      </c>
      <c r="H27" s="53">
        <f>SUM(B27:G27)</f>
        <v>200668565</v>
      </c>
      <c r="AMJ27" s="46"/>
    </row>
    <row r="28" spans="1:1024" ht="15.75" x14ac:dyDescent="0.25">
      <c r="A28" s="52" t="s">
        <v>8</v>
      </c>
      <c r="B28" s="53">
        <f>'2D'!B24</f>
        <v>10090368</v>
      </c>
      <c r="C28" s="53">
        <v>0</v>
      </c>
      <c r="D28" s="53">
        <v>0</v>
      </c>
      <c r="E28" s="53">
        <v>20581799</v>
      </c>
      <c r="F28" s="53">
        <v>0</v>
      </c>
      <c r="G28" s="53">
        <v>10000000</v>
      </c>
      <c r="H28" s="53">
        <f>SUM(B28:G28)</f>
        <v>40672167</v>
      </c>
      <c r="AMJ28" s="46"/>
    </row>
    <row r="29" spans="1:1024" ht="15.75" x14ac:dyDescent="0.25">
      <c r="A29" s="58" t="s">
        <v>70</v>
      </c>
      <c r="B29" s="59">
        <f t="shared" ref="B29:H29" si="2">SUM(B26:B28)</f>
        <v>286920736</v>
      </c>
      <c r="C29" s="59">
        <f t="shared" si="2"/>
        <v>325301770</v>
      </c>
      <c r="D29" s="59">
        <f t="shared" si="2"/>
        <v>156710369</v>
      </c>
      <c r="E29" s="59">
        <f t="shared" si="2"/>
        <v>104782473</v>
      </c>
      <c r="F29" s="59">
        <f t="shared" si="2"/>
        <v>17450784</v>
      </c>
      <c r="G29" s="59">
        <f t="shared" si="2"/>
        <v>49000000</v>
      </c>
      <c r="H29" s="59">
        <f t="shared" si="2"/>
        <v>940166132</v>
      </c>
      <c r="AMJ29" s="46"/>
    </row>
    <row r="30" spans="1:1024" s="37" customFormat="1" ht="15.75" x14ac:dyDescent="0.25">
      <c r="A30" s="51"/>
      <c r="B30" s="60"/>
      <c r="C30" s="60"/>
      <c r="D30" s="60"/>
      <c r="E30" s="60"/>
      <c r="F30" s="60"/>
      <c r="G30" s="60"/>
      <c r="H30" s="60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</row>
    <row r="31" spans="1:1024" s="37" customFormat="1" ht="15.75" x14ac:dyDescent="0.25">
      <c r="A31" s="49" t="s">
        <v>113</v>
      </c>
      <c r="B31" s="60"/>
      <c r="C31" s="60"/>
      <c r="D31" s="60"/>
      <c r="E31" s="60"/>
      <c r="F31" s="60"/>
      <c r="G31" s="60"/>
      <c r="H31" s="60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</row>
    <row r="32" spans="1:1024" s="37" customFormat="1" ht="30" x14ac:dyDescent="0.25">
      <c r="A32" s="49" t="s">
        <v>64</v>
      </c>
      <c r="B32" s="51" t="s">
        <v>71</v>
      </c>
      <c r="C32" s="51" t="s">
        <v>48</v>
      </c>
      <c r="D32" s="49" t="s">
        <v>72</v>
      </c>
      <c r="E32" s="51" t="s">
        <v>73</v>
      </c>
      <c r="F32" s="51" t="s">
        <v>74</v>
      </c>
      <c r="G32" s="51" t="s">
        <v>98</v>
      </c>
      <c r="H32" s="51" t="s">
        <v>60</v>
      </c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</row>
    <row r="33" spans="1:1024" s="37" customFormat="1" ht="30" x14ac:dyDescent="0.25">
      <c r="A33" s="56" t="s">
        <v>10</v>
      </c>
      <c r="B33" s="53">
        <f>'2B'!D23</f>
        <v>273830368</v>
      </c>
      <c r="C33" s="57">
        <v>240385295</v>
      </c>
      <c r="D33" s="57">
        <f>78493074-529197</f>
        <v>77963877</v>
      </c>
      <c r="E33" s="53">
        <f>52665879+'2B'!E50+'2B'!E48+'2B'!D51+'2B'!D52</f>
        <v>57747587</v>
      </c>
      <c r="F33" s="57">
        <v>17450784</v>
      </c>
      <c r="G33" s="57">
        <f>'2B'!D31-egyensúly!G40</f>
        <v>34809197</v>
      </c>
      <c r="H33" s="53">
        <f>SUM(B33:G33)</f>
        <v>702187108</v>
      </c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</row>
    <row r="34" spans="1:1024" s="37" customFormat="1" ht="15.75" x14ac:dyDescent="0.25">
      <c r="A34" s="52" t="s">
        <v>108</v>
      </c>
      <c r="B34" s="53">
        <f>'2C'!C21+'2C'!C24</f>
        <v>3000000</v>
      </c>
      <c r="C34" s="57">
        <v>84916475</v>
      </c>
      <c r="D34" s="57">
        <f>78217295-908906</f>
        <v>77308389</v>
      </c>
      <c r="E34" s="57">
        <f>31534795+'2C'!D39+'2C'!D40+'2C'!D41+'2C'!D42</f>
        <v>34648754</v>
      </c>
      <c r="F34" s="57">
        <v>0</v>
      </c>
      <c r="G34" s="53">
        <f>'2C'!C29-630000</f>
        <v>3278906</v>
      </c>
      <c r="H34" s="53">
        <f>SUM(B34:G34)</f>
        <v>203152524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</row>
    <row r="35" spans="1:1024" s="37" customFormat="1" ht="15.75" x14ac:dyDescent="0.25">
      <c r="A35" s="52" t="s">
        <v>8</v>
      </c>
      <c r="B35" s="53">
        <f>'2D'!C24</f>
        <v>10090368</v>
      </c>
      <c r="C35" s="53">
        <v>0</v>
      </c>
      <c r="D35" s="53">
        <v>0</v>
      </c>
      <c r="E35" s="53">
        <f>20581799-2380653</f>
        <v>18201146</v>
      </c>
      <c r="F35" s="53">
        <v>0</v>
      </c>
      <c r="G35" s="53">
        <f>'2D'!C33</f>
        <v>10916702</v>
      </c>
      <c r="H35" s="53">
        <f>SUM(B35:G35)</f>
        <v>39208216</v>
      </c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</row>
    <row r="36" spans="1:1024" s="37" customFormat="1" ht="15.75" x14ac:dyDescent="0.25">
      <c r="A36" s="58" t="s">
        <v>70</v>
      </c>
      <c r="B36" s="59">
        <f>SUM(B33:B35)</f>
        <v>286920736</v>
      </c>
      <c r="C36" s="59">
        <f t="shared" ref="C36:H36" si="3">SUM(C33:C35)</f>
        <v>325301770</v>
      </c>
      <c r="D36" s="59">
        <f t="shared" si="3"/>
        <v>155272266</v>
      </c>
      <c r="E36" s="59">
        <f t="shared" si="3"/>
        <v>110597487</v>
      </c>
      <c r="F36" s="59">
        <f t="shared" si="3"/>
        <v>17450784</v>
      </c>
      <c r="G36" s="59">
        <f t="shared" si="3"/>
        <v>49004805</v>
      </c>
      <c r="H36" s="59">
        <f t="shared" si="3"/>
        <v>944547848</v>
      </c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  <c r="AMF36" s="48"/>
      <c r="AMG36" s="48"/>
      <c r="AMH36" s="48"/>
      <c r="AMI36" s="48"/>
    </row>
    <row r="37" spans="1:1024" s="37" customFormat="1" ht="15.75" x14ac:dyDescent="0.25">
      <c r="A37" s="51"/>
      <c r="B37" s="60"/>
      <c r="C37" s="60"/>
      <c r="D37" s="60"/>
      <c r="E37" s="60"/>
      <c r="F37" s="60"/>
      <c r="G37" s="60"/>
      <c r="H37" s="60"/>
      <c r="I37" s="60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  <c r="AMB37" s="48"/>
      <c r="AMC37" s="48"/>
      <c r="AMD37" s="48"/>
      <c r="AME37" s="48"/>
      <c r="AMF37" s="48"/>
      <c r="AMG37" s="48"/>
      <c r="AMH37" s="48"/>
      <c r="AMI37" s="48"/>
      <c r="AMJ37" s="48"/>
    </row>
    <row r="38" spans="1:1024" s="37" customFormat="1" ht="15.75" x14ac:dyDescent="0.25">
      <c r="A38" s="51" t="s">
        <v>95</v>
      </c>
      <c r="B38" s="60"/>
      <c r="C38" s="60"/>
      <c r="D38" s="60"/>
      <c r="E38" s="60" t="s">
        <v>96</v>
      </c>
      <c r="F38" s="60"/>
      <c r="G38" s="60"/>
      <c r="H38" s="60"/>
      <c r="I38" s="60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  <c r="AMB38" s="48"/>
      <c r="AMC38" s="48"/>
      <c r="AMD38" s="48"/>
      <c r="AME38" s="48"/>
      <c r="AMF38" s="48"/>
      <c r="AMG38" s="48"/>
      <c r="AMH38" s="48"/>
      <c r="AMI38" s="48"/>
      <c r="AMJ38" s="48"/>
    </row>
    <row r="39" spans="1:1024" s="37" customFormat="1" ht="45" x14ac:dyDescent="0.25">
      <c r="A39" s="49" t="s">
        <v>64</v>
      </c>
      <c r="B39" s="51" t="s">
        <v>114</v>
      </c>
      <c r="C39" s="51" t="s">
        <v>115</v>
      </c>
      <c r="D39" s="60"/>
      <c r="E39" s="49" t="s">
        <v>64</v>
      </c>
      <c r="F39" s="51" t="s">
        <v>116</v>
      </c>
      <c r="G39" s="51" t="s">
        <v>117</v>
      </c>
      <c r="H39" s="60"/>
      <c r="I39" s="60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  <c r="AMB39" s="48"/>
      <c r="AMC39" s="48"/>
      <c r="AMD39" s="48"/>
      <c r="AME39" s="48"/>
      <c r="AMF39" s="48"/>
      <c r="AMG39" s="48"/>
      <c r="AMH39" s="48"/>
      <c r="AMI39" s="48"/>
      <c r="AMJ39" s="48"/>
    </row>
    <row r="40" spans="1:1024" s="37" customFormat="1" ht="75" x14ac:dyDescent="0.25">
      <c r="A40" s="52" t="s">
        <v>10</v>
      </c>
      <c r="B40" s="53">
        <v>0</v>
      </c>
      <c r="C40" s="53">
        <f>'2B'!D17</f>
        <v>1720000</v>
      </c>
      <c r="D40" s="60"/>
      <c r="E40" s="56" t="s">
        <v>154</v>
      </c>
      <c r="F40" s="53">
        <v>0</v>
      </c>
      <c r="G40" s="53">
        <v>1720000</v>
      </c>
      <c r="H40" s="60"/>
      <c r="I40" s="60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  <c r="AMB40" s="48"/>
      <c r="AMC40" s="48"/>
      <c r="AMD40" s="48"/>
      <c r="AME40" s="48"/>
      <c r="AMF40" s="48"/>
      <c r="AMG40" s="48"/>
      <c r="AMH40" s="48"/>
      <c r="AMI40" s="48"/>
      <c r="AMJ40" s="48"/>
    </row>
    <row r="41" spans="1:1024" s="37" customFormat="1" ht="96" customHeight="1" x14ac:dyDescent="0.25">
      <c r="A41" s="52" t="s">
        <v>108</v>
      </c>
      <c r="B41" s="53">
        <v>0</v>
      </c>
      <c r="C41" s="53">
        <f>'2C'!C17</f>
        <v>1896698</v>
      </c>
      <c r="D41" s="60"/>
      <c r="E41" s="52" t="s">
        <v>155</v>
      </c>
      <c r="F41" s="53">
        <v>0</v>
      </c>
      <c r="G41" s="53">
        <v>1896698</v>
      </c>
      <c r="H41" s="60"/>
      <c r="I41" s="60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  <c r="AMB41" s="48"/>
      <c r="AMC41" s="48"/>
      <c r="AMD41" s="48"/>
      <c r="AME41" s="48"/>
      <c r="AMF41" s="48"/>
      <c r="AMG41" s="48"/>
      <c r="AMH41" s="48"/>
      <c r="AMI41" s="48"/>
      <c r="AMJ41" s="48"/>
    </row>
    <row r="42" spans="1:1024" s="37" customFormat="1" ht="60" x14ac:dyDescent="0.25">
      <c r="A42" s="52" t="s">
        <v>8</v>
      </c>
      <c r="B42" s="53">
        <v>235000000</v>
      </c>
      <c r="C42" s="53">
        <f>'2D'!C18</f>
        <v>235000000</v>
      </c>
      <c r="D42" s="60"/>
      <c r="E42" s="52" t="s">
        <v>152</v>
      </c>
      <c r="F42" s="53">
        <v>235000000</v>
      </c>
      <c r="G42" s="53">
        <v>235000000</v>
      </c>
      <c r="H42" s="60"/>
      <c r="I42" s="60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  <c r="AMB42" s="48"/>
      <c r="AMC42" s="48"/>
      <c r="AMD42" s="48"/>
      <c r="AME42" s="48"/>
      <c r="AMF42" s="48"/>
      <c r="AMG42" s="48"/>
      <c r="AMH42" s="48"/>
      <c r="AMI42" s="48"/>
      <c r="AMJ42" s="48"/>
    </row>
    <row r="43" spans="1:1024" s="37" customFormat="1" ht="15.75" x14ac:dyDescent="0.25">
      <c r="A43" s="54" t="s">
        <v>70</v>
      </c>
      <c r="B43" s="55">
        <f>SUM(B40:B42)</f>
        <v>235000000</v>
      </c>
      <c r="C43" s="55">
        <f>SUM(C40:C42)</f>
        <v>238616698</v>
      </c>
      <c r="D43" s="60"/>
      <c r="E43" s="58" t="s">
        <v>70</v>
      </c>
      <c r="F43" s="59">
        <f>SUM(F40:F42)</f>
        <v>235000000</v>
      </c>
      <c r="G43" s="59">
        <f>SUM(G40:G42)</f>
        <v>238616698</v>
      </c>
      <c r="H43" s="60"/>
      <c r="I43" s="60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  <c r="ACT43" s="48"/>
      <c r="ACU43" s="48"/>
      <c r="ACV43" s="48"/>
      <c r="ACW43" s="48"/>
      <c r="ACX43" s="48"/>
      <c r="ACY43" s="48"/>
      <c r="ACZ43" s="48"/>
      <c r="ADA43" s="48"/>
      <c r="ADB43" s="48"/>
      <c r="ADC43" s="48"/>
      <c r="ADD43" s="48"/>
      <c r="ADE43" s="48"/>
      <c r="ADF43" s="48"/>
      <c r="ADG43" s="48"/>
      <c r="ADH43" s="48"/>
      <c r="ADI43" s="48"/>
      <c r="ADJ43" s="48"/>
      <c r="ADK43" s="48"/>
      <c r="ADL43" s="48"/>
      <c r="ADM43" s="48"/>
      <c r="ADN43" s="48"/>
      <c r="ADO43" s="48"/>
      <c r="ADP43" s="48"/>
      <c r="ADQ43" s="48"/>
      <c r="ADR43" s="48"/>
      <c r="ADS43" s="48"/>
      <c r="ADT43" s="48"/>
      <c r="ADU43" s="48"/>
      <c r="ADV43" s="48"/>
      <c r="ADW43" s="48"/>
      <c r="ADX43" s="48"/>
      <c r="ADY43" s="48"/>
      <c r="ADZ43" s="48"/>
      <c r="AEA43" s="48"/>
      <c r="AEB43" s="48"/>
      <c r="AEC43" s="48"/>
      <c r="AED43" s="48"/>
      <c r="AEE43" s="48"/>
      <c r="AEF43" s="48"/>
      <c r="AEG43" s="48"/>
      <c r="AEH43" s="48"/>
      <c r="AEI43" s="48"/>
      <c r="AEJ43" s="48"/>
      <c r="AEK43" s="48"/>
      <c r="AEL43" s="48"/>
      <c r="AEM43" s="48"/>
      <c r="AEN43" s="48"/>
      <c r="AEO43" s="48"/>
      <c r="AEP43" s="48"/>
      <c r="AEQ43" s="48"/>
      <c r="AER43" s="48"/>
      <c r="AES43" s="48"/>
      <c r="AET43" s="48"/>
      <c r="AEU43" s="48"/>
      <c r="AEV43" s="48"/>
      <c r="AEW43" s="48"/>
      <c r="AEX43" s="48"/>
      <c r="AEY43" s="48"/>
      <c r="AEZ43" s="48"/>
      <c r="AFA43" s="48"/>
      <c r="AFB43" s="48"/>
      <c r="AFC43" s="48"/>
      <c r="AFD43" s="48"/>
      <c r="AFE43" s="48"/>
      <c r="AFF43" s="48"/>
      <c r="AFG43" s="48"/>
      <c r="AFH43" s="48"/>
      <c r="AFI43" s="48"/>
      <c r="AFJ43" s="48"/>
      <c r="AFK43" s="48"/>
      <c r="AFL43" s="48"/>
      <c r="AFM43" s="48"/>
      <c r="AFN43" s="48"/>
      <c r="AFO43" s="48"/>
      <c r="AFP43" s="48"/>
      <c r="AFQ43" s="48"/>
      <c r="AFR43" s="48"/>
      <c r="AFS43" s="48"/>
      <c r="AFT43" s="48"/>
      <c r="AFU43" s="48"/>
      <c r="AFV43" s="48"/>
      <c r="AFW43" s="48"/>
      <c r="AFX43" s="48"/>
      <c r="AFY43" s="48"/>
      <c r="AFZ43" s="48"/>
      <c r="AGA43" s="48"/>
      <c r="AGB43" s="48"/>
      <c r="AGC43" s="48"/>
      <c r="AGD43" s="48"/>
      <c r="AGE43" s="48"/>
      <c r="AGF43" s="48"/>
      <c r="AGG43" s="48"/>
      <c r="AGH43" s="48"/>
      <c r="AGI43" s="48"/>
      <c r="AGJ43" s="48"/>
      <c r="AGK43" s="48"/>
      <c r="AGL43" s="48"/>
      <c r="AGM43" s="48"/>
      <c r="AGN43" s="48"/>
      <c r="AGO43" s="48"/>
      <c r="AGP43" s="48"/>
      <c r="AGQ43" s="48"/>
      <c r="AGR43" s="48"/>
      <c r="AGS43" s="48"/>
      <c r="AGT43" s="48"/>
      <c r="AGU43" s="48"/>
      <c r="AGV43" s="48"/>
      <c r="AGW43" s="48"/>
      <c r="AGX43" s="48"/>
      <c r="AGY43" s="48"/>
      <c r="AGZ43" s="48"/>
      <c r="AHA43" s="48"/>
      <c r="AHB43" s="48"/>
      <c r="AHC43" s="48"/>
      <c r="AHD43" s="48"/>
      <c r="AHE43" s="48"/>
      <c r="AHF43" s="48"/>
      <c r="AHG43" s="48"/>
      <c r="AHH43" s="48"/>
      <c r="AHI43" s="48"/>
      <c r="AHJ43" s="48"/>
      <c r="AHK43" s="48"/>
      <c r="AHL43" s="48"/>
      <c r="AHM43" s="48"/>
      <c r="AHN43" s="48"/>
      <c r="AHO43" s="48"/>
      <c r="AHP43" s="48"/>
      <c r="AHQ43" s="48"/>
      <c r="AHR43" s="48"/>
      <c r="AHS43" s="48"/>
      <c r="AHT43" s="48"/>
      <c r="AHU43" s="48"/>
      <c r="AHV43" s="48"/>
      <c r="AHW43" s="48"/>
      <c r="AHX43" s="48"/>
      <c r="AHY43" s="48"/>
      <c r="AHZ43" s="48"/>
      <c r="AIA43" s="48"/>
      <c r="AIB43" s="48"/>
      <c r="AIC43" s="48"/>
      <c r="AID43" s="48"/>
      <c r="AIE43" s="48"/>
      <c r="AIF43" s="48"/>
      <c r="AIG43" s="48"/>
      <c r="AIH43" s="48"/>
      <c r="AII43" s="48"/>
      <c r="AIJ43" s="48"/>
      <c r="AIK43" s="48"/>
      <c r="AIL43" s="48"/>
      <c r="AIM43" s="48"/>
      <c r="AIN43" s="48"/>
      <c r="AIO43" s="48"/>
      <c r="AIP43" s="48"/>
      <c r="AIQ43" s="48"/>
      <c r="AIR43" s="48"/>
      <c r="AIS43" s="48"/>
      <c r="AIT43" s="48"/>
      <c r="AIU43" s="48"/>
      <c r="AIV43" s="48"/>
      <c r="AIW43" s="48"/>
      <c r="AIX43" s="48"/>
      <c r="AIY43" s="48"/>
      <c r="AIZ43" s="48"/>
      <c r="AJA43" s="48"/>
      <c r="AJB43" s="48"/>
      <c r="AJC43" s="48"/>
      <c r="AJD43" s="48"/>
      <c r="AJE43" s="48"/>
      <c r="AJF43" s="48"/>
      <c r="AJG43" s="48"/>
      <c r="AJH43" s="48"/>
      <c r="AJI43" s="48"/>
      <c r="AJJ43" s="48"/>
      <c r="AJK43" s="48"/>
      <c r="AJL43" s="48"/>
      <c r="AJM43" s="48"/>
      <c r="AJN43" s="48"/>
      <c r="AJO43" s="48"/>
      <c r="AJP43" s="48"/>
      <c r="AJQ43" s="48"/>
      <c r="AJR43" s="48"/>
      <c r="AJS43" s="48"/>
      <c r="AJT43" s="48"/>
      <c r="AJU43" s="48"/>
      <c r="AJV43" s="48"/>
      <c r="AJW43" s="48"/>
      <c r="AJX43" s="48"/>
      <c r="AJY43" s="48"/>
      <c r="AJZ43" s="48"/>
      <c r="AKA43" s="48"/>
      <c r="AKB43" s="48"/>
      <c r="AKC43" s="48"/>
      <c r="AKD43" s="48"/>
      <c r="AKE43" s="48"/>
      <c r="AKF43" s="48"/>
      <c r="AKG43" s="48"/>
      <c r="AKH43" s="48"/>
      <c r="AKI43" s="48"/>
      <c r="AKJ43" s="48"/>
      <c r="AKK43" s="48"/>
      <c r="AKL43" s="48"/>
      <c r="AKM43" s="48"/>
      <c r="AKN43" s="48"/>
      <c r="AKO43" s="48"/>
      <c r="AKP43" s="48"/>
      <c r="AKQ43" s="48"/>
      <c r="AKR43" s="48"/>
      <c r="AKS43" s="48"/>
      <c r="AKT43" s="48"/>
      <c r="AKU43" s="48"/>
      <c r="AKV43" s="48"/>
      <c r="AKW43" s="48"/>
      <c r="AKX43" s="48"/>
      <c r="AKY43" s="48"/>
      <c r="AKZ43" s="48"/>
      <c r="ALA43" s="48"/>
      <c r="ALB43" s="48"/>
      <c r="ALC43" s="48"/>
      <c r="ALD43" s="48"/>
      <c r="ALE43" s="48"/>
      <c r="ALF43" s="48"/>
      <c r="ALG43" s="48"/>
      <c r="ALH43" s="48"/>
      <c r="ALI43" s="48"/>
      <c r="ALJ43" s="48"/>
      <c r="ALK43" s="48"/>
      <c r="ALL43" s="48"/>
      <c r="ALM43" s="48"/>
      <c r="ALN43" s="48"/>
      <c r="ALO43" s="48"/>
      <c r="ALP43" s="48"/>
      <c r="ALQ43" s="48"/>
      <c r="ALR43" s="48"/>
      <c r="ALS43" s="48"/>
      <c r="ALT43" s="48"/>
      <c r="ALU43" s="48"/>
      <c r="ALV43" s="48"/>
      <c r="ALW43" s="48"/>
      <c r="ALX43" s="48"/>
      <c r="ALY43" s="48"/>
      <c r="ALZ43" s="48"/>
      <c r="AMA43" s="48"/>
      <c r="AMB43" s="48"/>
      <c r="AMC43" s="48"/>
      <c r="AMD43" s="48"/>
      <c r="AME43" s="48"/>
      <c r="AMF43" s="48"/>
      <c r="AMG43" s="48"/>
      <c r="AMH43" s="48"/>
      <c r="AMI43" s="48"/>
      <c r="AMJ43" s="48"/>
    </row>
    <row r="44" spans="1:1024" s="37" customFormat="1" ht="15.75" x14ac:dyDescent="0.25">
      <c r="A44" s="51"/>
      <c r="B44" s="60"/>
      <c r="C44" s="60"/>
      <c r="D44" s="60"/>
      <c r="E44" s="60"/>
      <c r="F44" s="60"/>
      <c r="G44" s="60"/>
      <c r="H44" s="60"/>
      <c r="I44" s="60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  <c r="AMB44" s="48"/>
      <c r="AMC44" s="48"/>
      <c r="AMD44" s="48"/>
      <c r="AME44" s="48"/>
      <c r="AMF44" s="48"/>
      <c r="AMG44" s="48"/>
      <c r="AMH44" s="48"/>
      <c r="AMI44" s="48"/>
      <c r="AMJ44" s="48"/>
    </row>
    <row r="48" spans="1:1024" s="48" customFormat="1" x14ac:dyDescent="0.25">
      <c r="A48" s="48" t="s">
        <v>153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2"/>
  <sheetViews>
    <sheetView tabSelected="1" topLeftCell="A16" workbookViewId="0">
      <selection activeCell="B17" sqref="B17"/>
    </sheetView>
  </sheetViews>
  <sheetFormatPr defaultRowHeight="15" x14ac:dyDescent="0.25"/>
  <cols>
    <col min="1" max="1" width="33.5" style="48" customWidth="1"/>
    <col min="2" max="4" width="13" style="48" customWidth="1"/>
    <col min="5" max="5" width="17" style="48" customWidth="1"/>
    <col min="6" max="1023" width="8.75" style="48" customWidth="1"/>
    <col min="1024" max="1024" width="9" style="46" customWidth="1"/>
    <col min="1025" max="16384" width="9" style="46"/>
  </cols>
  <sheetData>
    <row r="1" spans="1:8" ht="15.75" x14ac:dyDescent="0.25">
      <c r="A1" s="61"/>
      <c r="B1" s="138" t="s">
        <v>157</v>
      </c>
      <c r="C1" s="138"/>
      <c r="D1" s="138"/>
      <c r="E1" s="138"/>
    </row>
    <row r="2" spans="1:8" ht="15.75" x14ac:dyDescent="0.25">
      <c r="A2" s="62"/>
    </row>
    <row r="3" spans="1:8" ht="15.75" x14ac:dyDescent="0.25">
      <c r="A3" s="139" t="s">
        <v>8</v>
      </c>
      <c r="B3" s="139"/>
      <c r="C3" s="139"/>
      <c r="D3" s="139"/>
      <c r="E3" s="139"/>
    </row>
    <row r="4" spans="1:8" ht="15.75" x14ac:dyDescent="0.25">
      <c r="A4" s="139" t="s">
        <v>77</v>
      </c>
      <c r="B4" s="139"/>
      <c r="C4" s="139"/>
      <c r="D4" s="139"/>
      <c r="E4" s="139"/>
    </row>
    <row r="5" spans="1:8" ht="15.75" x14ac:dyDescent="0.25">
      <c r="A5" s="139" t="s">
        <v>145</v>
      </c>
      <c r="B5" s="139"/>
      <c r="C5" s="139"/>
      <c r="D5" s="139"/>
      <c r="E5" s="139"/>
      <c r="H5" s="46"/>
    </row>
    <row r="6" spans="1:8" ht="15.75" x14ac:dyDescent="0.25">
      <c r="A6" s="63"/>
      <c r="H6" s="46"/>
    </row>
    <row r="7" spans="1:8" ht="15.75" customHeight="1" x14ac:dyDescent="0.25">
      <c r="A7" s="140" t="s">
        <v>78</v>
      </c>
      <c r="B7" s="140"/>
      <c r="C7" s="140"/>
      <c r="D7" s="140"/>
      <c r="E7" s="140"/>
    </row>
    <row r="8" spans="1:8" x14ac:dyDescent="0.25">
      <c r="A8" s="64"/>
      <c r="H8" s="46"/>
    </row>
    <row r="9" spans="1:8" ht="16.5" thickBot="1" x14ac:dyDescent="0.3">
      <c r="B9" s="92" t="s">
        <v>125</v>
      </c>
      <c r="C9" s="65"/>
      <c r="D9" s="65"/>
      <c r="E9" s="85"/>
    </row>
    <row r="10" spans="1:8" ht="33" customHeight="1" thickTop="1" x14ac:dyDescent="0.25">
      <c r="A10" s="66" t="s">
        <v>6</v>
      </c>
      <c r="B10" s="67" t="s">
        <v>109</v>
      </c>
      <c r="C10" s="67" t="s">
        <v>126</v>
      </c>
      <c r="D10" s="67" t="s">
        <v>133</v>
      </c>
      <c r="E10" s="66" t="s">
        <v>79</v>
      </c>
    </row>
    <row r="11" spans="1:8" ht="15.75" x14ac:dyDescent="0.25">
      <c r="A11" s="68" t="s">
        <v>80</v>
      </c>
      <c r="B11" s="69" t="s">
        <v>81</v>
      </c>
      <c r="C11" s="69" t="s">
        <v>81</v>
      </c>
      <c r="D11" s="69" t="s">
        <v>81</v>
      </c>
      <c r="E11" s="70"/>
    </row>
    <row r="12" spans="1:8" ht="16.5" customHeight="1" thickBot="1" x14ac:dyDescent="0.3">
      <c r="A12" s="71"/>
      <c r="B12" s="72" t="s">
        <v>82</v>
      </c>
      <c r="C12" s="72" t="s">
        <v>82</v>
      </c>
      <c r="D12" s="72" t="s">
        <v>82</v>
      </c>
      <c r="E12" s="70"/>
    </row>
    <row r="13" spans="1:8" ht="47.25" customHeight="1" thickTop="1" x14ac:dyDescent="0.25">
      <c r="A13" s="93" t="s">
        <v>108</v>
      </c>
      <c r="B13" s="73">
        <f>SUM(B14:B16)</f>
        <v>43</v>
      </c>
      <c r="C13" s="73">
        <f>SUM(C14:C16)</f>
        <v>46</v>
      </c>
      <c r="D13" s="73">
        <f>SUM(D14:D16)</f>
        <v>46</v>
      </c>
      <c r="E13" s="74">
        <v>0</v>
      </c>
    </row>
    <row r="14" spans="1:8" ht="19.5" customHeight="1" x14ac:dyDescent="0.25">
      <c r="A14" s="75" t="s">
        <v>83</v>
      </c>
      <c r="B14" s="76">
        <v>8</v>
      </c>
      <c r="C14" s="76">
        <v>8</v>
      </c>
      <c r="D14" s="76">
        <v>8</v>
      </c>
      <c r="E14" s="77">
        <v>0</v>
      </c>
    </row>
    <row r="15" spans="1:8" ht="21.75" customHeight="1" x14ac:dyDescent="0.25">
      <c r="A15" s="75" t="s">
        <v>127</v>
      </c>
      <c r="B15" s="76">
        <v>16</v>
      </c>
      <c r="C15" s="76">
        <v>21</v>
      </c>
      <c r="D15" s="76">
        <v>21</v>
      </c>
      <c r="E15" s="77">
        <v>0</v>
      </c>
    </row>
    <row r="16" spans="1:8" ht="19.5" customHeight="1" x14ac:dyDescent="0.25">
      <c r="A16" s="75" t="s">
        <v>128</v>
      </c>
      <c r="B16" s="76">
        <v>19</v>
      </c>
      <c r="C16" s="76">
        <v>17</v>
      </c>
      <c r="D16" s="76">
        <v>17</v>
      </c>
      <c r="E16" s="77">
        <v>0</v>
      </c>
    </row>
    <row r="17" spans="1:5" ht="37.5" customHeight="1" x14ac:dyDescent="0.25">
      <c r="A17" s="78" t="s">
        <v>76</v>
      </c>
      <c r="B17" s="73">
        <f>SUM(B18:B27)</f>
        <v>141</v>
      </c>
      <c r="C17" s="94">
        <f>SUM(C18:C27)</f>
        <v>146</v>
      </c>
      <c r="D17" s="94">
        <f>SUM(D18:D27)</f>
        <v>146</v>
      </c>
      <c r="E17" s="74">
        <f>SUM(E18:E27)</f>
        <v>0</v>
      </c>
    </row>
    <row r="18" spans="1:5" ht="33.75" customHeight="1" x14ac:dyDescent="0.25">
      <c r="A18" s="75" t="s">
        <v>84</v>
      </c>
      <c r="B18" s="76">
        <v>43</v>
      </c>
      <c r="C18" s="95">
        <v>47</v>
      </c>
      <c r="D18" s="95">
        <v>47</v>
      </c>
      <c r="E18" s="77">
        <v>0</v>
      </c>
    </row>
    <row r="19" spans="1:5" ht="21" customHeight="1" x14ac:dyDescent="0.25">
      <c r="A19" s="75" t="s">
        <v>129</v>
      </c>
      <c r="B19" s="76">
        <v>28</v>
      </c>
      <c r="C19" s="95">
        <v>29</v>
      </c>
      <c r="D19" s="95">
        <v>29</v>
      </c>
      <c r="E19" s="77">
        <v>0</v>
      </c>
    </row>
    <row r="20" spans="1:5" ht="19.5" customHeight="1" x14ac:dyDescent="0.25">
      <c r="A20" s="75" t="s">
        <v>130</v>
      </c>
      <c r="B20" s="76">
        <v>6</v>
      </c>
      <c r="C20" s="95">
        <v>7</v>
      </c>
      <c r="D20" s="95">
        <v>7</v>
      </c>
      <c r="E20" s="77">
        <v>0</v>
      </c>
    </row>
    <row r="21" spans="1:5" ht="18" customHeight="1" x14ac:dyDescent="0.25">
      <c r="A21" s="75" t="s">
        <v>131</v>
      </c>
      <c r="B21" s="76">
        <v>16</v>
      </c>
      <c r="C21" s="95">
        <v>15</v>
      </c>
      <c r="D21" s="95">
        <v>15</v>
      </c>
      <c r="E21" s="77">
        <v>0</v>
      </c>
    </row>
    <row r="22" spans="1:5" ht="18" customHeight="1" x14ac:dyDescent="0.25">
      <c r="A22" s="75" t="s">
        <v>132</v>
      </c>
      <c r="B22" s="76">
        <v>7</v>
      </c>
      <c r="C22" s="95">
        <v>6</v>
      </c>
      <c r="D22" s="95">
        <v>6</v>
      </c>
      <c r="E22" s="77">
        <v>0</v>
      </c>
    </row>
    <row r="23" spans="1:5" ht="16.5" customHeight="1" x14ac:dyDescent="0.25">
      <c r="A23" s="75" t="s">
        <v>85</v>
      </c>
      <c r="B23" s="76">
        <v>2</v>
      </c>
      <c r="C23" s="95">
        <v>2</v>
      </c>
      <c r="D23" s="95">
        <v>2</v>
      </c>
      <c r="E23" s="77">
        <v>0</v>
      </c>
    </row>
    <row r="24" spans="1:5" ht="18.75" customHeight="1" x14ac:dyDescent="0.25">
      <c r="A24" s="75" t="s">
        <v>86</v>
      </c>
      <c r="B24" s="76">
        <v>4</v>
      </c>
      <c r="C24" s="95">
        <v>1</v>
      </c>
      <c r="D24" s="95">
        <v>1</v>
      </c>
      <c r="E24" s="77">
        <v>0</v>
      </c>
    </row>
    <row r="25" spans="1:5" ht="18" customHeight="1" x14ac:dyDescent="0.25">
      <c r="A25" s="75" t="s">
        <v>87</v>
      </c>
      <c r="B25" s="76">
        <v>30</v>
      </c>
      <c r="C25" s="95">
        <v>34</v>
      </c>
      <c r="D25" s="95">
        <v>34</v>
      </c>
      <c r="E25" s="77">
        <v>0</v>
      </c>
    </row>
    <row r="26" spans="1:5" ht="18.75" customHeight="1" x14ac:dyDescent="0.25">
      <c r="A26" s="75" t="s">
        <v>88</v>
      </c>
      <c r="B26" s="76">
        <v>1</v>
      </c>
      <c r="C26" s="95">
        <v>1</v>
      </c>
      <c r="D26" s="95">
        <v>1</v>
      </c>
      <c r="E26" s="77">
        <v>0</v>
      </c>
    </row>
    <row r="27" spans="1:5" ht="18" customHeight="1" x14ac:dyDescent="0.25">
      <c r="A27" s="75" t="s">
        <v>89</v>
      </c>
      <c r="B27" s="79">
        <v>4</v>
      </c>
      <c r="C27" s="95">
        <v>4</v>
      </c>
      <c r="D27" s="95">
        <v>4</v>
      </c>
      <c r="E27" s="77">
        <v>0</v>
      </c>
    </row>
    <row r="28" spans="1:5" ht="17.25" customHeight="1" x14ac:dyDescent="0.25">
      <c r="A28" s="78" t="s">
        <v>8</v>
      </c>
      <c r="B28" s="98">
        <v>0</v>
      </c>
      <c r="C28" s="96">
        <v>0</v>
      </c>
      <c r="D28" s="96">
        <v>0</v>
      </c>
      <c r="E28" s="97">
        <v>0</v>
      </c>
    </row>
    <row r="29" spans="1:5" ht="17.25" customHeight="1" x14ac:dyDescent="0.25">
      <c r="A29" s="78" t="s">
        <v>75</v>
      </c>
      <c r="B29" s="73">
        <f>SUM(B13+B17+B28)</f>
        <v>184</v>
      </c>
      <c r="C29" s="73">
        <f>SUM(C13+C17+C28)</f>
        <v>192</v>
      </c>
      <c r="D29" s="73">
        <f>SUM(D13+D17+D28)</f>
        <v>192</v>
      </c>
      <c r="E29" s="74">
        <f>SUM(E13+E17+E28)</f>
        <v>0</v>
      </c>
    </row>
    <row r="30" spans="1:5" ht="17.25" customHeight="1" x14ac:dyDescent="0.25"/>
    <row r="32" spans="1:5" ht="15.75" x14ac:dyDescent="0.25">
      <c r="A32" s="80" t="s">
        <v>153</v>
      </c>
    </row>
  </sheetData>
  <mergeCells count="5">
    <mergeCell ref="A3:E3"/>
    <mergeCell ref="A4:E4"/>
    <mergeCell ref="A5:E5"/>
    <mergeCell ref="A7:E7"/>
    <mergeCell ref="B1:E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4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2017-09-07T03:43:31Z</dcterms:modified>
</cp:coreProperties>
</file>