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15" windowWidth="19815" windowHeight="7005" activeTab="10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5" sheetId="8" r:id="rId6"/>
    <sheet name="3" sheetId="6" r:id="rId7"/>
    <sheet name="4" sheetId="7" r:id="rId8"/>
    <sheet name="6" sheetId="11" r:id="rId9"/>
    <sheet name="7" sheetId="12" r:id="rId10"/>
    <sheet name="8" sheetId="13" r:id="rId11"/>
    <sheet name="9" sheetId="14" r:id="rId12"/>
  </sheets>
  <externalReferences>
    <externalReference r:id="rId13"/>
    <externalReference r:id="rId14"/>
  </externalReferences>
  <calcPr calcId="145621"/>
</workbook>
</file>

<file path=xl/calcChain.xml><?xml version="1.0" encoding="utf-8"?>
<calcChain xmlns="http://schemas.openxmlformats.org/spreadsheetml/2006/main">
  <c r="E22" i="2" l="1"/>
  <c r="C29" i="13" l="1"/>
  <c r="C17" i="13"/>
  <c r="B17" i="13"/>
  <c r="C13" i="13"/>
  <c r="N25" i="12" l="1"/>
  <c r="N26" i="12"/>
  <c r="N19" i="12"/>
  <c r="N17" i="12"/>
  <c r="N69" i="12"/>
  <c r="N77" i="12"/>
  <c r="N75" i="12"/>
  <c r="D32" i="3"/>
  <c r="D29" i="3"/>
  <c r="E29" i="2"/>
  <c r="G28" i="8"/>
  <c r="C26" i="5"/>
  <c r="D26" i="5" s="1"/>
  <c r="E16" i="14" l="1"/>
  <c r="M66" i="12"/>
  <c r="L66" i="12"/>
  <c r="L76" i="12"/>
  <c r="M75" i="12"/>
  <c r="J74" i="12"/>
  <c r="G74" i="12"/>
  <c r="M73" i="12"/>
  <c r="J65" i="12"/>
  <c r="G65" i="12"/>
  <c r="M65" i="12"/>
  <c r="L65" i="12"/>
  <c r="K65" i="12"/>
  <c r="I65" i="12"/>
  <c r="H65" i="12"/>
  <c r="F65" i="12"/>
  <c r="E65" i="12"/>
  <c r="D65" i="12"/>
  <c r="C65" i="12"/>
  <c r="B65" i="12"/>
  <c r="J64" i="12"/>
  <c r="G64" i="12"/>
  <c r="M42" i="12"/>
  <c r="J42" i="12"/>
  <c r="I42" i="12"/>
  <c r="J51" i="12"/>
  <c r="H51" i="12"/>
  <c r="J50" i="12"/>
  <c r="G50" i="12"/>
  <c r="G41" i="12"/>
  <c r="M41" i="12"/>
  <c r="L41" i="12"/>
  <c r="K41" i="12"/>
  <c r="J41" i="12"/>
  <c r="I41" i="12"/>
  <c r="H41" i="12"/>
  <c r="F41" i="12"/>
  <c r="E41" i="12"/>
  <c r="D41" i="12"/>
  <c r="C41" i="12"/>
  <c r="B41" i="12"/>
  <c r="J40" i="12"/>
  <c r="G40" i="12"/>
  <c r="C34" i="11"/>
  <c r="C33" i="11"/>
  <c r="C29" i="11"/>
  <c r="C28" i="11"/>
  <c r="C27" i="11"/>
  <c r="C19" i="11"/>
  <c r="C18" i="11"/>
  <c r="C15" i="11"/>
  <c r="C32" i="11" s="1"/>
  <c r="C14" i="11"/>
  <c r="B13" i="13"/>
  <c r="B29" i="13" s="1"/>
  <c r="E15" i="7"/>
  <c r="H13" i="7"/>
  <c r="E21" i="8" l="1"/>
  <c r="E20" i="8"/>
  <c r="E19" i="8"/>
  <c r="C19" i="8"/>
  <c r="F19" i="8"/>
  <c r="C48" i="3"/>
  <c r="C45" i="3"/>
  <c r="D13" i="7" s="1"/>
  <c r="D20" i="8"/>
  <c r="D19" i="8"/>
  <c r="C20" i="8"/>
  <c r="E26" i="2"/>
  <c r="C16" i="11" l="1"/>
  <c r="B24" i="2"/>
  <c r="C33" i="5"/>
  <c r="C29" i="5"/>
  <c r="C28" i="5"/>
  <c r="C24" i="5"/>
  <c r="C20" i="5"/>
  <c r="N18" i="12" s="1"/>
  <c r="C17" i="5"/>
  <c r="D17" i="5" s="1"/>
  <c r="C16" i="5"/>
  <c r="D16" i="5" s="1"/>
  <c r="C15" i="5"/>
  <c r="C14" i="5"/>
  <c r="N15" i="12" s="1"/>
  <c r="C13" i="5"/>
  <c r="N14" i="12" s="1"/>
  <c r="C12" i="5"/>
  <c r="N13" i="12" s="1"/>
  <c r="B33" i="5"/>
  <c r="B29" i="5"/>
  <c r="B27" i="2" s="1"/>
  <c r="B28" i="5"/>
  <c r="B24" i="5"/>
  <c r="B20" i="5"/>
  <c r="B18" i="2" s="1"/>
  <c r="B17" i="5"/>
  <c r="B15" i="2" s="1"/>
  <c r="B15" i="5"/>
  <c r="B14" i="5"/>
  <c r="B13" i="5"/>
  <c r="B12" i="5"/>
  <c r="B19" i="5" s="1"/>
  <c r="B22" i="5" s="1"/>
  <c r="D13" i="5" l="1"/>
  <c r="D33" i="5"/>
  <c r="B32" i="5"/>
  <c r="D28" i="5"/>
  <c r="D15" i="5"/>
  <c r="N16" i="12"/>
  <c r="N23" i="12"/>
  <c r="G21" i="8"/>
  <c r="N27" i="12"/>
  <c r="M27" i="12" s="1"/>
  <c r="D14" i="5"/>
  <c r="B35" i="5"/>
  <c r="D24" i="5"/>
  <c r="D12" i="5"/>
  <c r="D20" i="5"/>
  <c r="D29" i="5"/>
  <c r="D41" i="4"/>
  <c r="D36" i="4"/>
  <c r="C39" i="4"/>
  <c r="C41" i="4"/>
  <c r="C40" i="4"/>
  <c r="H14" i="7" s="1"/>
  <c r="C38" i="4"/>
  <c r="B40" i="4"/>
  <c r="B39" i="4"/>
  <c r="C30" i="4"/>
  <c r="C27" i="4"/>
  <c r="C22" i="4"/>
  <c r="N49" i="12" s="1"/>
  <c r="C15" i="4"/>
  <c r="N43" i="12" s="1"/>
  <c r="C14" i="4"/>
  <c r="N42" i="12" s="1"/>
  <c r="C13" i="4"/>
  <c r="N41" i="12" s="1"/>
  <c r="C12" i="4"/>
  <c r="N40" i="12" s="1"/>
  <c r="B30" i="4"/>
  <c r="B27" i="4"/>
  <c r="B25" i="4"/>
  <c r="B22" i="4"/>
  <c r="B15" i="4"/>
  <c r="B14" i="4"/>
  <c r="B13" i="4"/>
  <c r="B12" i="4"/>
  <c r="C47" i="3"/>
  <c r="C46" i="3"/>
  <c r="G13" i="7" s="1"/>
  <c r="C44" i="3"/>
  <c r="C43" i="3"/>
  <c r="C42" i="3"/>
  <c r="C41" i="3"/>
  <c r="C40" i="3"/>
  <c r="C39" i="3"/>
  <c r="C38" i="3"/>
  <c r="C37" i="3"/>
  <c r="C13" i="7" s="1"/>
  <c r="N74" i="12" s="1"/>
  <c r="B45" i="3"/>
  <c r="B44" i="3"/>
  <c r="B43" i="3"/>
  <c r="B42" i="3"/>
  <c r="B41" i="3"/>
  <c r="B40" i="3"/>
  <c r="B39" i="3"/>
  <c r="B38" i="3"/>
  <c r="B37" i="3"/>
  <c r="D27" i="4" l="1"/>
  <c r="B18" i="4"/>
  <c r="B20" i="4" s="1"/>
  <c r="D40" i="4"/>
  <c r="C42" i="4"/>
  <c r="D14" i="7"/>
  <c r="D38" i="4"/>
  <c r="C14" i="7"/>
  <c r="N50" i="12" s="1"/>
  <c r="D39" i="4"/>
  <c r="D30" i="4"/>
  <c r="B50" i="3"/>
  <c r="D12" i="4"/>
  <c r="D13" i="4"/>
  <c r="B29" i="4"/>
  <c r="B32" i="4" s="1"/>
  <c r="D15" i="4"/>
  <c r="D22" i="4"/>
  <c r="D37" i="3"/>
  <c r="D14" i="4"/>
  <c r="C30" i="3"/>
  <c r="C27" i="3"/>
  <c r="C22" i="3"/>
  <c r="C15" i="3"/>
  <c r="N67" i="12" s="1"/>
  <c r="C14" i="3"/>
  <c r="N66" i="12" s="1"/>
  <c r="C13" i="3"/>
  <c r="N65" i="12" s="1"/>
  <c r="C12" i="3"/>
  <c r="N64" i="12" s="1"/>
  <c r="B30" i="3"/>
  <c r="B30" i="2" s="1"/>
  <c r="B27" i="3"/>
  <c r="B25" i="3"/>
  <c r="B26" i="2" s="1"/>
  <c r="B29" i="2" s="1"/>
  <c r="B22" i="3"/>
  <c r="B22" i="2" s="1"/>
  <c r="B15" i="3"/>
  <c r="B14" i="3"/>
  <c r="B13" i="2" s="1"/>
  <c r="B13" i="3"/>
  <c r="B12" i="2" s="1"/>
  <c r="B12" i="3"/>
  <c r="B11" i="2" s="1"/>
  <c r="D25" i="3" l="1"/>
  <c r="B19" i="8"/>
  <c r="N73" i="12"/>
  <c r="C17" i="11"/>
  <c r="N51" i="12"/>
  <c r="D15" i="3"/>
  <c r="B14" i="2"/>
  <c r="D13" i="3"/>
  <c r="D22" i="3"/>
  <c r="D12" i="3"/>
  <c r="D27" i="3"/>
  <c r="D30" i="3"/>
  <c r="D14" i="3"/>
  <c r="B18" i="3"/>
  <c r="B20" i="3" s="1"/>
  <c r="B29" i="3"/>
  <c r="B32" i="3" s="1"/>
  <c r="F16" i="7"/>
  <c r="C28" i="8"/>
  <c r="J28" i="12" l="1"/>
  <c r="B28" i="12"/>
  <c r="D28" i="4" l="1"/>
  <c r="D26" i="4"/>
  <c r="D24" i="4"/>
  <c r="D23" i="4"/>
  <c r="D17" i="4"/>
  <c r="D16" i="4"/>
  <c r="C15" i="2" l="1"/>
  <c r="E13" i="2"/>
  <c r="D28" i="3"/>
  <c r="D24" i="3"/>
  <c r="D23" i="3"/>
  <c r="D17" i="3"/>
  <c r="D16" i="3"/>
  <c r="D46" i="3"/>
  <c r="D44" i="3"/>
  <c r="D43" i="3"/>
  <c r="D42" i="3"/>
  <c r="D41" i="3"/>
  <c r="D40" i="3"/>
  <c r="D39" i="3"/>
  <c r="D38" i="3"/>
  <c r="B21" i="8" l="1"/>
  <c r="D45" i="3"/>
  <c r="I15" i="7"/>
  <c r="G19" i="8"/>
  <c r="C30" i="2"/>
  <c r="G20" i="8"/>
  <c r="I14" i="7"/>
  <c r="N52" i="12" s="1"/>
  <c r="C30" i="11"/>
  <c r="B32" i="2" l="1"/>
  <c r="B17" i="2"/>
  <c r="B20" i="2" s="1"/>
  <c r="E26" i="14" l="1"/>
  <c r="E15" i="14"/>
  <c r="E14" i="14"/>
  <c r="E13" i="14"/>
  <c r="E12" i="14"/>
  <c r="E11" i="14"/>
  <c r="E10" i="14"/>
  <c r="E9" i="14"/>
  <c r="G29" i="8"/>
  <c r="F29" i="8"/>
  <c r="B29" i="8"/>
  <c r="C29" i="8"/>
  <c r="E14" i="7"/>
  <c r="E19" i="14" l="1"/>
  <c r="E28" i="14" s="1"/>
  <c r="I13" i="7" l="1"/>
  <c r="N76" i="12" s="1"/>
  <c r="H13" i="6"/>
  <c r="B20" i="8" l="1"/>
  <c r="H20" i="8" s="1"/>
  <c r="C13" i="8"/>
  <c r="B13" i="8"/>
  <c r="E12" i="8"/>
  <c r="D12" i="8"/>
  <c r="C12" i="8"/>
  <c r="B12" i="8"/>
  <c r="E11" i="8"/>
  <c r="C11" i="8"/>
  <c r="B11" i="8"/>
  <c r="B15" i="7"/>
  <c r="J15" i="7" s="1"/>
  <c r="B14" i="7"/>
  <c r="J14" i="7" s="1"/>
  <c r="B13" i="7"/>
  <c r="C15" i="6"/>
  <c r="B15" i="6"/>
  <c r="E14" i="6"/>
  <c r="D14" i="6"/>
  <c r="C14" i="6"/>
  <c r="B14" i="6"/>
  <c r="E13" i="6"/>
  <c r="E16" i="6" s="1"/>
  <c r="C13" i="6"/>
  <c r="B13" i="6"/>
  <c r="E24" i="2"/>
  <c r="D24" i="2" s="1"/>
  <c r="E32" i="2"/>
  <c r="C22" i="2"/>
  <c r="E12" i="2"/>
  <c r="C12" i="2"/>
  <c r="E11" i="2"/>
  <c r="C11" i="2"/>
  <c r="D17" i="13"/>
  <c r="D29" i="13" s="1"/>
  <c r="M77" i="12"/>
  <c r="L77" i="12"/>
  <c r="K77" i="12"/>
  <c r="J77" i="12"/>
  <c r="I77" i="12"/>
  <c r="H77" i="12"/>
  <c r="G77" i="12"/>
  <c r="F77" i="12"/>
  <c r="E77" i="12"/>
  <c r="C77" i="12"/>
  <c r="B77" i="12"/>
  <c r="D77" i="12"/>
  <c r="M69" i="12"/>
  <c r="L69" i="12"/>
  <c r="K69" i="12"/>
  <c r="I69" i="12"/>
  <c r="H69" i="12"/>
  <c r="G69" i="12"/>
  <c r="F69" i="12"/>
  <c r="E69" i="12"/>
  <c r="D69" i="12"/>
  <c r="C69" i="12"/>
  <c r="B69" i="12"/>
  <c r="J69" i="12"/>
  <c r="M53" i="12"/>
  <c r="L53" i="12"/>
  <c r="K53" i="12"/>
  <c r="I53" i="12"/>
  <c r="G53" i="12"/>
  <c r="E53" i="12"/>
  <c r="D53" i="12"/>
  <c r="C53" i="12"/>
  <c r="B53" i="12"/>
  <c r="J53" i="12"/>
  <c r="H53" i="12"/>
  <c r="F53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M28" i="12"/>
  <c r="L28" i="12"/>
  <c r="I28" i="12"/>
  <c r="H28" i="12"/>
  <c r="G28" i="12"/>
  <c r="F28" i="12"/>
  <c r="E28" i="12"/>
  <c r="D28" i="12"/>
  <c r="C28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F22" i="8"/>
  <c r="D22" i="8"/>
  <c r="C22" i="8"/>
  <c r="H21" i="8"/>
  <c r="I16" i="7"/>
  <c r="G16" i="7"/>
  <c r="D16" i="7"/>
  <c r="C16" i="7"/>
  <c r="C13" i="11" s="1"/>
  <c r="C20" i="11" s="1"/>
  <c r="H16" i="6"/>
  <c r="D15" i="6"/>
  <c r="B42" i="4"/>
  <c r="D42" i="4" s="1"/>
  <c r="C29" i="4"/>
  <c r="C18" i="4"/>
  <c r="C18" i="3"/>
  <c r="D13" i="6"/>
  <c r="D28" i="2"/>
  <c r="D25" i="2"/>
  <c r="D23" i="2"/>
  <c r="D16" i="2"/>
  <c r="D15" i="2"/>
  <c r="D32" i="2" l="1"/>
  <c r="C20" i="4"/>
  <c r="D20" i="4" s="1"/>
  <c r="D18" i="4"/>
  <c r="C32" i="4"/>
  <c r="D32" i="4" s="1"/>
  <c r="D29" i="4"/>
  <c r="C20" i="3"/>
  <c r="D20" i="3" s="1"/>
  <c r="D18" i="3"/>
  <c r="N45" i="12"/>
  <c r="D22" i="2"/>
  <c r="C16" i="6"/>
  <c r="B16" i="7"/>
  <c r="E14" i="8"/>
  <c r="D11" i="2"/>
  <c r="C14" i="8"/>
  <c r="D12" i="2"/>
  <c r="B22" i="8"/>
  <c r="H12" i="8"/>
  <c r="B14" i="8"/>
  <c r="I14" i="6"/>
  <c r="B16" i="6"/>
  <c r="I13" i="6"/>
  <c r="D16" i="6"/>
  <c r="E16" i="7"/>
  <c r="N53" i="12"/>
  <c r="C13" i="2"/>
  <c r="C14" i="2"/>
  <c r="D11" i="8"/>
  <c r="D13" i="8"/>
  <c r="G13" i="8"/>
  <c r="G14" i="8" s="1"/>
  <c r="E14" i="2"/>
  <c r="G15" i="6"/>
  <c r="G16" i="6" s="1"/>
  <c r="E17" i="2" l="1"/>
  <c r="E20" i="2" s="1"/>
  <c r="H11" i="8"/>
  <c r="D14" i="8"/>
  <c r="C17" i="2"/>
  <c r="D13" i="2"/>
  <c r="D14" i="2"/>
  <c r="D17" i="2" l="1"/>
  <c r="C18" i="2" l="1"/>
  <c r="F15" i="6"/>
  <c r="F13" i="8"/>
  <c r="F16" i="6" l="1"/>
  <c r="I15" i="6"/>
  <c r="I16" i="6" s="1"/>
  <c r="D18" i="2"/>
  <c r="C20" i="2"/>
  <c r="D20" i="2" s="1"/>
  <c r="F14" i="8"/>
  <c r="H13" i="8"/>
  <c r="H14" i="8" s="1"/>
  <c r="C27" i="2" l="1"/>
  <c r="D27" i="2" s="1"/>
  <c r="H19" i="8" l="1"/>
  <c r="E22" i="8"/>
  <c r="D47" i="3"/>
  <c r="H16" i="7" l="1"/>
  <c r="J13" i="7"/>
  <c r="J16" i="7" l="1"/>
  <c r="G22" i="8"/>
  <c r="H22" i="8"/>
  <c r="C32" i="5" l="1"/>
  <c r="C35" i="5" s="1"/>
  <c r="D35" i="5" s="1"/>
  <c r="C26" i="2"/>
  <c r="C29" i="2" s="1"/>
  <c r="D26" i="2" l="1"/>
  <c r="C31" i="11"/>
  <c r="C35" i="11" s="1"/>
  <c r="C32" i="2" l="1"/>
  <c r="D29" i="2"/>
  <c r="C29" i="3"/>
  <c r="C19" i="5" l="1"/>
  <c r="C32" i="3"/>
  <c r="C22" i="5" l="1"/>
  <c r="D22" i="5" s="1"/>
  <c r="D19" i="5"/>
  <c r="D48" i="3"/>
  <c r="D50" i="3" s="1"/>
  <c r="C50" i="3"/>
  <c r="K25" i="12"/>
  <c r="K28" i="12" s="1"/>
</calcChain>
</file>

<file path=xl/sharedStrings.xml><?xml version="1.0" encoding="utf-8"?>
<sst xmlns="http://schemas.openxmlformats.org/spreadsheetml/2006/main" count="641" uniqueCount="272">
  <si>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</si>
  <si>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</si>
  <si>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</si>
  <si>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</si>
  <si>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</si>
  <si>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</si>
  <si>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</si>
  <si>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</si>
  <si>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</si>
  <si>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</si>
  <si>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</si>
  <si>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</si>
  <si>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</si>
  <si>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</si>
  <si>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</si>
  <si>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</si>
  <si>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</si>
  <si>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</si>
  <si>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</si>
  <si>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</si>
  <si>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</si>
  <si>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</si>
  <si>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</si>
  <si>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</si>
  <si>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</si>
  <si>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</si>
  <si>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</si>
  <si>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</si>
  <si>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</si>
  <si>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</si>
  <si>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</si>
  <si>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</si>
  <si>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</si>
  <si>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</si>
  <si>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</si>
  <si>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</si>
  <si>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</si>
  <si>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</si>
  <si>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</si>
  <si>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</si>
  <si>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</si>
  <si>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</si>
  <si>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</si>
  <si>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</si>
  <si>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</si>
  <si>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</si>
  <si>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</si>
  <si>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</si>
  <si>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</si>
  <si>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</si>
  <si>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Pénzmaradvány felhasználás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</si>
  <si>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</si>
  <si>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</si>
  <si>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</si>
  <si>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</si>
  <si>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</si>
  <si>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</si>
  <si>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</si>
  <si>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</si>
  <si>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</si>
  <si>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</si>
  <si>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</si>
  <si>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</si>
  <si>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</si>
  <si>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</si>
  <si>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</si>
  <si>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</si>
  <si>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</si>
  <si>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</si>
  <si>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</si>
  <si>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</si>
  <si>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Felügyeleti szervtől átvett támogatás</t>
  </si>
  <si>
    <t>Szociális és gyermekjóléti alapszolg., állami támogatás</t>
  </si>
  <si>
    <t>Gyermekek átmeneti int. Ellátása,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</si>
  <si>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</si>
  <si>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</si>
  <si>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</si>
  <si>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</si>
  <si>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</si>
  <si>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</si>
  <si>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3. SZÁMÚ MELLÉKLET</t>
  </si>
  <si>
    <t>Kiadások összefoglalása</t>
  </si>
  <si>
    <t>Tervezett kiadások összesítése ezer Ft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</si>
  <si>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</si>
  <si>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</si>
  <si>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</si>
  <si>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</si>
  <si>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</si>
  <si>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</si>
  <si>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</si>
  <si>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4. SZÁMÚ MELLÉKLET</t>
  </si>
  <si>
    <t xml:space="preserve"> Bevételek összefoglalása</t>
  </si>
  <si>
    <t>Tervezett  bevételek összesítése ezer Ft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</si>
  <si>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</si>
  <si>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</si>
  <si>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</si>
  <si>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</si>
  <si>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</si>
  <si>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5. SZÁMÚ MELLÉKLET</t>
  </si>
  <si>
    <t>Kiadások és Bevételek működési egyensúlya</t>
  </si>
  <si>
    <t>Jogcím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</si>
  <si>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</si>
  <si>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</si>
  <si>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</si>
  <si>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</si>
  <si>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Összege ezer Ft-ban</t>
  </si>
  <si>
    <t>Magyar Államkincstár</t>
  </si>
  <si>
    <t>Nemzeti Rehabilitációs és Szociális Hivatal</t>
  </si>
  <si>
    <t>Mosonmagyaróvár Város Önkormányzata</t>
  </si>
  <si>
    <t>Összesen:</t>
  </si>
  <si>
    <t>1. oldal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</si>
  <si>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</si>
  <si>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</si>
  <si>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</si>
  <si>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Társulás által átadandó pénzeszköz</t>
  </si>
  <si>
    <t>Karolina Kórház - Rendelőintézet</t>
  </si>
  <si>
    <t>Orvosi gép-, műszer beszerzés támogatása</t>
  </si>
  <si>
    <t>Működési támogatás, mely tartalmazza normatív állami támogatást, feladatalapú támogatást, MÖK támogatást, társulási támogatást</t>
  </si>
  <si>
    <t>Kistérségi Egyesített Szociális Intézet</t>
  </si>
  <si>
    <t>2. oldal</t>
  </si>
  <si>
    <t>Mosonmagyaróvári Többcélú Kistérségi Társulás Tanácsa</t>
  </si>
  <si>
    <t>Havi bontás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</si>
  <si>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</si>
  <si>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</si>
  <si>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</si>
  <si>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</si>
  <si>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</si>
  <si>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</si>
  <si>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</si>
  <si>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</si>
  <si>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</si>
  <si>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</si>
  <si>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</si>
  <si>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</si>
  <si>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</si>
  <si>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Kiadásnem</t>
  </si>
  <si>
    <t>Személyi juttatás</t>
  </si>
  <si>
    <t>Támogatások</t>
  </si>
  <si>
    <t>Beruházási kiadás</t>
  </si>
  <si>
    <t>Kiadások összesen</t>
  </si>
  <si>
    <t>Bevétel</t>
  </si>
  <si>
    <t>Egyéb támogatás</t>
  </si>
  <si>
    <t>Bevételek összesen</t>
  </si>
  <si>
    <t>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</si>
  <si>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</si>
  <si>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</si>
  <si>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</si>
  <si>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</si>
  <si>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</si>
  <si>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</si>
  <si>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</si>
  <si>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</si>
  <si>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</si>
  <si>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</si>
  <si>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</si>
  <si>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</si>
  <si>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</si>
  <si>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</si>
  <si>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</si>
  <si>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térségi társulás támogatása</t>
  </si>
  <si>
    <t>100 Ft/lakos</t>
  </si>
  <si>
    <t>KGYCSSZK támogatására</t>
  </si>
  <si>
    <t>20 Ft/lakos</t>
  </si>
  <si>
    <t>Kórház támogatására</t>
  </si>
  <si>
    <t>évi kétszeri befizetés</t>
  </si>
  <si>
    <t>2015. év</t>
  </si>
  <si>
    <t>Szolidaritási alap</t>
  </si>
  <si>
    <t>10 Ft/lakos</t>
  </si>
  <si>
    <t>Felújítási alap</t>
  </si>
  <si>
    <t>K5</t>
  </si>
  <si>
    <t>K513</t>
  </si>
  <si>
    <t>B16, 816</t>
  </si>
  <si>
    <t>Térségi tagdíj, felújítási alap, szolidaritási alap, orvosi gép- műszer beszerzés támogatása</t>
  </si>
  <si>
    <t>Szociális foglalkoztatás feladatalapú finanszírozása (gesztor önkormányzaton keresztül)</t>
  </si>
  <si>
    <t>Település önkormányzatok (magába foglalja gesztor önkormányzat támogatását is)</t>
  </si>
  <si>
    <t>Mosonmagyaróvári Polgármesteri Hivatal</t>
  </si>
  <si>
    <t>Társulási feladatok ellátására hozzájárulás</t>
  </si>
  <si>
    <t>Jelzőrendszer működési hozzájárulás (nem tényleges támogatás továbbszámlázott szolgáltatás bevételeként jelenik meg szerződés szerint)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</si>
  <si>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</si>
  <si>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</si>
  <si>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</si>
  <si>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</si>
  <si>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</si>
  <si>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</si>
  <si>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</si>
  <si>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</si>
  <si>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</si>
  <si>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</si>
  <si>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</si>
  <si>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</si>
  <si>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</si>
  <si>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</si>
  <si>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</si>
  <si>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</si>
  <si>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</si>
  <si>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</si>
  <si>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</si>
  <si>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Rovat: B113</t>
  </si>
  <si>
    <t>3.a.</t>
  </si>
  <si>
    <t>4.a</t>
  </si>
  <si>
    <t>GyÁÓ bértámogatás</t>
  </si>
  <si>
    <t>Feladat</t>
  </si>
  <si>
    <t>Mindösszesen</t>
  </si>
  <si>
    <t>2016. évi</t>
  </si>
  <si>
    <t>előirányzat 2016.</t>
  </si>
  <si>
    <t>Társulás maradványából</t>
  </si>
  <si>
    <t>Változás 2016-hoz képest</t>
  </si>
  <si>
    <t>változás</t>
  </si>
  <si>
    <t>2016. év</t>
  </si>
  <si>
    <t>Maradvány felhasználást</t>
  </si>
  <si>
    <t>Maradvány felhasználás</t>
  </si>
  <si>
    <t>GYÁÓ bértámogatás és intézményüzemeltetési támogatás</t>
  </si>
  <si>
    <t>2016. ÉVI KÖLTSÉGVETÉSI HATOZATÁHOZ</t>
  </si>
  <si>
    <t>6. SZÁMÚ MELLÉKLET</t>
  </si>
  <si>
    <t>Civil szervezet számára Tanács döntése alapján</t>
  </si>
  <si>
    <t>Jubileumi jutalomra, felmentési bérre átadandó</t>
  </si>
  <si>
    <t>7. SZÁMÚ MELLÉKLET</t>
  </si>
  <si>
    <t>Intézményi működési bevétel</t>
  </si>
  <si>
    <t>2016. január 1.</t>
  </si>
  <si>
    <t>8. számú melléklet</t>
  </si>
  <si>
    <t>9. számú melléklet</t>
  </si>
  <si>
    <t>Család és gyermekjóléti szolgálat</t>
  </si>
  <si>
    <t>3000000 Ft/mutató</t>
  </si>
  <si>
    <t>3.b</t>
  </si>
  <si>
    <t>Család és gyermekjóléti központ</t>
  </si>
  <si>
    <t>8 fő</t>
  </si>
  <si>
    <t>Család és Gyermekjóléti Központ</t>
  </si>
  <si>
    <t>TOP-s pályázatok bevételi forrása</t>
  </si>
  <si>
    <t>Felhalmozási projekt bevétel</t>
  </si>
  <si>
    <t>2017. évi költségvetéséről szóló …../2017. (II….) TT. határozatához</t>
  </si>
  <si>
    <t>előirányzat 2016. adatok ezer Ft-ban (!)</t>
  </si>
  <si>
    <t>előirányzat 2017 adatok Ft-ban</t>
  </si>
  <si>
    <t>előző évhez képest ezer Ft alapján %-ban</t>
  </si>
  <si>
    <t>Irányító szervi támogatás részletezése 2016.-2017. év eredeti Ft-ban</t>
  </si>
  <si>
    <t>2017. évi</t>
  </si>
  <si>
    <t>Összevont ágazati pótlék</t>
  </si>
  <si>
    <t>Beszedett tagdíjakból</t>
  </si>
  <si>
    <t>Mosonmagyaróvár, 2017. február 7.</t>
  </si>
  <si>
    <t>2017. ÉVI KÖLTSÉGVETÉSI HATOZATÁHOZ</t>
  </si>
  <si>
    <t>tárgyévi adatok  Ft-ban</t>
  </si>
  <si>
    <t>tárgyévi adatok Ft-ban</t>
  </si>
  <si>
    <t>Irányító szervi támogatás részletezése 2016.-2017. év eredeti</t>
  </si>
  <si>
    <t>2017. év</t>
  </si>
  <si>
    <t>Térségi Társulástól érkező támogatás (tagdíj)</t>
  </si>
  <si>
    <t>előirányzat 2017</t>
  </si>
  <si>
    <t>előirányzat 2017.</t>
  </si>
  <si>
    <t>270 Ft/lakos</t>
  </si>
  <si>
    <t>2017. év terv</t>
  </si>
  <si>
    <t>adatok  Ft-ban</t>
  </si>
  <si>
    <t>Működési kiadások  Ft</t>
  </si>
  <si>
    <t>Működési bevételek Ft</t>
  </si>
  <si>
    <t>Felhalmozási kiadások  Ft</t>
  </si>
  <si>
    <t>Felhalmozási bevételek  Ft</t>
  </si>
  <si>
    <t>2017. január 1.</t>
  </si>
  <si>
    <t>2017. évi költségvetéséről szóló határozatához</t>
  </si>
  <si>
    <t>2017. ÉVI KÖLTSÉGVETÉSI HATÁROZATÁHOZ</t>
  </si>
  <si>
    <t>Állami támogatással finanszírozott feladatok ellátásra (kiegészítő ágazati pótlékkal együtt)</t>
  </si>
  <si>
    <t>Jelzőrendszer támogatása (Térségi Társuláson keresztül, KESZI intézménye által kiállított számla szerint)</t>
  </si>
  <si>
    <t>Kistérségi Egyesített Szociális Intézmény működésének támogatása (tagdíjon kívül)</t>
  </si>
  <si>
    <t>Család és Gyermekjóléti Központ működésének támogatása (tagdíjon kívül)</t>
  </si>
  <si>
    <t xml:space="preserve">Család és Gyermekjóléti Központ működésének támogatása </t>
  </si>
  <si>
    <t>likviditási ütemterve 2017. év ezer Ft-ban</t>
  </si>
  <si>
    <t>Fajlagos támogatás 2016. évi XC. tv. Alapján</t>
  </si>
  <si>
    <t>26 fő</t>
  </si>
  <si>
    <t>Felhalmozási és tőke jellegű bevételek, felhalmozási célú pénzeszköz átvételek</t>
  </si>
  <si>
    <t>Maradvány felhasználás/ támogatás</t>
  </si>
  <si>
    <t>Család- és Gyermekjóléti Szolgálat</t>
  </si>
  <si>
    <t>Család- és Gyermekjóléti Központ Hatósági és Speciális Munkacsoporot</t>
  </si>
  <si>
    <t>Gondozóház, főzőkonyha</t>
  </si>
  <si>
    <t>Idősek klubja</t>
  </si>
  <si>
    <t>FÉNI</t>
  </si>
  <si>
    <t>56/2016. (XII.12.) TT. határozat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</si>
</sst>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27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</borders>
  <cellStyleXfs count="14">
    <xf numFmtId="0" fontId="0" fillId="0" borderId="0"/>
    <xf numFmtId="169" fontId="2" fillId="0" borderId="0" applyFont="0" applyFill="0" applyBorder="0" applyAlignment="0" applyProtection="0"/>
    <xf numFmtId="168" fontId="3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5" fillId="0" borderId="0" applyBorder="0" applyProtection="0"/>
    <xf numFmtId="164" fontId="5" fillId="0" borderId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6" fillId="0" borderId="0" applyNumberFormat="0" applyBorder="0" applyProtection="0"/>
    <xf numFmtId="170" fontId="6" fillId="0" borderId="0" applyBorder="0" applyProtection="0"/>
    <xf numFmtId="9" fontId="2" fillId="0" borderId="0" applyFont="0" applyFill="0" applyBorder="0" applyAlignment="0" applyProtection="0"/>
    <xf numFmtId="0" fontId="1" fillId="0" borderId="0"/>
  </cellStyleXfs>
  <cellXfs count="195">
    <xf numFmtId="0" fontId="0" fillId="0" borderId="0" xfId="0"/>
    <xf numFmtId="164" fontId="3" fillId="0" borderId="0" xfId="3" applyFont="1" applyFill="1" applyAlignment="1"/>
    <xf numFmtId="164" fontId="7" fillId="0" borderId="0" xfId="3" applyFont="1" applyFill="1" applyAlignment="1"/>
    <xf numFmtId="164" fontId="7" fillId="0" borderId="0" xfId="3" applyFont="1" applyFill="1" applyAlignment="1">
      <alignment horizontal="center"/>
    </xf>
    <xf numFmtId="164" fontId="9" fillId="0" borderId="0" xfId="3" applyFont="1" applyFill="1" applyAlignment="1">
      <alignment horizontal="center"/>
    </xf>
    <xf numFmtId="164" fontId="8" fillId="0" borderId="1" xfId="3" applyFont="1" applyFill="1" applyBorder="1" applyAlignment="1">
      <alignment horizontal="center" vertical="top" wrapText="1"/>
    </xf>
    <xf numFmtId="164" fontId="8" fillId="0" borderId="2" xfId="3" applyFont="1" applyFill="1" applyBorder="1" applyAlignment="1">
      <alignment horizontal="center" vertical="top" wrapText="1"/>
    </xf>
    <xf numFmtId="164" fontId="10" fillId="0" borderId="3" xfId="3" applyFont="1" applyFill="1" applyBorder="1" applyAlignment="1">
      <alignment horizontal="center" vertical="top" wrapText="1"/>
    </xf>
    <xf numFmtId="164" fontId="10" fillId="0" borderId="4" xfId="3" applyFont="1" applyFill="1" applyBorder="1" applyAlignment="1">
      <alignment horizontal="justify" vertical="top" wrapText="1"/>
    </xf>
    <xf numFmtId="164" fontId="10" fillId="0" borderId="2" xfId="3" applyFont="1" applyFill="1" applyBorder="1" applyAlignment="1">
      <alignment horizontal="justify" vertical="top" wrapText="1"/>
    </xf>
    <xf numFmtId="164" fontId="10" fillId="0" borderId="5" xfId="3" applyFont="1" applyFill="1" applyBorder="1" applyAlignment="1">
      <alignment horizontal="center" vertical="top" wrapText="1"/>
    </xf>
    <xf numFmtId="164" fontId="10" fillId="0" borderId="0" xfId="3" applyFont="1" applyFill="1" applyAlignment="1">
      <alignment horizontal="justify"/>
    </xf>
    <xf numFmtId="164" fontId="11" fillId="0" borderId="0" xfId="3" applyFont="1" applyFill="1" applyAlignment="1">
      <alignment horizontal="center"/>
    </xf>
    <xf numFmtId="164" fontId="12" fillId="2" borderId="0" xfId="3" applyFont="1" applyFill="1" applyAlignment="1">
      <alignment horizontal="center" wrapText="1"/>
    </xf>
    <xf numFmtId="164" fontId="13" fillId="0" borderId="7" xfId="3" applyFont="1" applyFill="1" applyBorder="1" applyAlignment="1">
      <alignment horizontal="center"/>
    </xf>
    <xf numFmtId="164" fontId="7" fillId="0" borderId="7" xfId="3" applyFont="1" applyFill="1" applyBorder="1" applyAlignment="1">
      <alignment horizontal="center"/>
    </xf>
    <xf numFmtId="164" fontId="13" fillId="0" borderId="8" xfId="3" applyFont="1" applyFill="1" applyBorder="1" applyAlignment="1">
      <alignment horizontal="center"/>
    </xf>
    <xf numFmtId="164" fontId="13" fillId="0" borderId="8" xfId="3" applyFont="1" applyFill="1" applyBorder="1" applyAlignment="1">
      <alignment horizontal="center" wrapText="1"/>
    </xf>
    <xf numFmtId="164" fontId="7" fillId="0" borderId="9" xfId="3" applyFont="1" applyFill="1" applyBorder="1" applyAlignment="1">
      <alignment horizontal="center"/>
    </xf>
    <xf numFmtId="164" fontId="14" fillId="0" borderId="10" xfId="3" applyFont="1" applyFill="1" applyBorder="1" applyAlignment="1"/>
    <xf numFmtId="166" fontId="14" fillId="0" borderId="10" xfId="3" applyNumberFormat="1" applyFont="1" applyFill="1" applyBorder="1" applyAlignment="1"/>
    <xf numFmtId="164" fontId="3" fillId="0" borderId="10" xfId="3" applyFont="1" applyFill="1" applyBorder="1" applyAlignment="1"/>
    <xf numFmtId="164" fontId="3" fillId="0" borderId="10" xfId="3" applyFont="1" applyFill="1" applyBorder="1" applyAlignment="1">
      <alignment wrapText="1"/>
    </xf>
    <xf numFmtId="166" fontId="14" fillId="0" borderId="11" xfId="3" applyNumberFormat="1" applyFont="1" applyFill="1" applyBorder="1" applyAlignment="1"/>
    <xf numFmtId="164" fontId="13" fillId="3" borderId="10" xfId="3" applyFont="1" applyFill="1" applyBorder="1" applyAlignment="1"/>
    <xf numFmtId="166" fontId="13" fillId="3" borderId="10" xfId="3" applyNumberFormat="1" applyFont="1" applyFill="1" applyBorder="1" applyAlignment="1"/>
    <xf numFmtId="166" fontId="13" fillId="3" borderId="11" xfId="3" applyNumberFormat="1" applyFont="1" applyFill="1" applyBorder="1" applyAlignment="1"/>
    <xf numFmtId="166" fontId="14" fillId="4" borderId="10" xfId="3" applyNumberFormat="1" applyFont="1" applyFill="1" applyBorder="1" applyAlignment="1"/>
    <xf numFmtId="166" fontId="13" fillId="0" borderId="10" xfId="3" applyNumberFormat="1" applyFont="1" applyFill="1" applyBorder="1" applyAlignment="1"/>
    <xf numFmtId="166" fontId="13" fillId="0" borderId="11" xfId="3" applyNumberFormat="1" applyFont="1" applyFill="1" applyBorder="1" applyAlignment="1"/>
    <xf numFmtId="166" fontId="14" fillId="0" borderId="0" xfId="3" applyNumberFormat="1" applyFont="1" applyFill="1" applyAlignment="1"/>
    <xf numFmtId="164" fontId="15" fillId="0" borderId="10" xfId="3" applyFont="1" applyFill="1" applyBorder="1" applyAlignment="1"/>
    <xf numFmtId="164" fontId="14" fillId="0" borderId="0" xfId="3" applyFont="1" applyFill="1" applyAlignment="1"/>
    <xf numFmtId="166" fontId="13" fillId="3" borderId="0" xfId="3" applyNumberFormat="1" applyFont="1" applyFill="1" applyAlignment="1"/>
    <xf numFmtId="164" fontId="13" fillId="0" borderId="10" xfId="3" applyFont="1" applyFill="1" applyBorder="1" applyAlignment="1"/>
    <xf numFmtId="166" fontId="13" fillId="0" borderId="12" xfId="3" applyNumberFormat="1" applyFont="1" applyFill="1" applyBorder="1" applyAlignment="1"/>
    <xf numFmtId="164" fontId="13" fillId="0" borderId="0" xfId="3" applyFont="1" applyFill="1" applyAlignment="1"/>
    <xf numFmtId="166" fontId="13" fillId="0" borderId="0" xfId="3" applyNumberFormat="1" applyFont="1" applyFill="1" applyAlignment="1"/>
    <xf numFmtId="164" fontId="12" fillId="2" borderId="0" xfId="3" applyFont="1" applyFill="1" applyAlignment="1"/>
    <xf numFmtId="164" fontId="12" fillId="2" borderId="0" xfId="3" applyFont="1" applyFill="1" applyAlignment="1">
      <alignment wrapText="1"/>
    </xf>
    <xf numFmtId="164" fontId="13" fillId="0" borderId="13" xfId="3" applyFont="1" applyFill="1" applyBorder="1" applyAlignment="1">
      <alignment horizontal="center"/>
    </xf>
    <xf numFmtId="164" fontId="13" fillId="0" borderId="14" xfId="3" applyFont="1" applyFill="1" applyBorder="1" applyAlignment="1">
      <alignment horizontal="center" wrapText="1"/>
    </xf>
    <xf numFmtId="0" fontId="16" fillId="0" borderId="0" xfId="0" applyFont="1"/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7" fillId="0" borderId="0" xfId="1" applyNumberFormat="1" applyFont="1" applyFill="1" applyAlignment="1"/>
    <xf numFmtId="49" fontId="3" fillId="0" borderId="10" xfId="0" applyNumberFormat="1" applyFont="1" applyBorder="1" applyAlignment="1">
      <alignment wrapText="1"/>
    </xf>
    <xf numFmtId="164" fontId="11" fillId="0" borderId="0" xfId="3" applyFont="1" applyFill="1" applyAlignment="1">
      <alignment horizontal="center" wrapText="1"/>
    </xf>
    <xf numFmtId="164" fontId="3" fillId="0" borderId="0" xfId="3" applyFont="1" applyFill="1" applyAlignment="1">
      <alignment wrapText="1"/>
    </xf>
    <xf numFmtId="164" fontId="7" fillId="0" borderId="0" xfId="3" applyFont="1" applyFill="1" applyAlignment="1">
      <alignment wrapText="1"/>
    </xf>
    <xf numFmtId="165" fontId="17" fillId="0" borderId="10" xfId="2" applyNumberFormat="1" applyFont="1" applyFill="1" applyBorder="1" applyAlignment="1"/>
    <xf numFmtId="164" fontId="7" fillId="5" borderId="10" xfId="3" applyFont="1" applyFill="1" applyBorder="1" applyAlignment="1">
      <alignment wrapText="1"/>
    </xf>
    <xf numFmtId="165" fontId="7" fillId="5" borderId="10" xfId="2" applyNumberFormat="1" applyFont="1" applyFill="1" applyBorder="1" applyAlignment="1"/>
    <xf numFmtId="164" fontId="3" fillId="0" borderId="11" xfId="3" applyFont="1" applyFill="1" applyBorder="1" applyAlignment="1">
      <alignment wrapText="1"/>
    </xf>
    <xf numFmtId="165" fontId="18" fillId="0" borderId="10" xfId="2" applyNumberFormat="1" applyFont="1" applyFill="1" applyBorder="1" applyAlignment="1"/>
    <xf numFmtId="165" fontId="3" fillId="0" borderId="0" xfId="3" applyNumberFormat="1" applyFont="1" applyFill="1" applyAlignment="1"/>
    <xf numFmtId="164" fontId="7" fillId="5" borderId="0" xfId="3" applyFont="1" applyFill="1" applyAlignment="1">
      <alignment wrapText="1"/>
    </xf>
    <xf numFmtId="165" fontId="11" fillId="5" borderId="0" xfId="3" applyNumberFormat="1" applyFont="1" applyFill="1" applyAlignment="1"/>
    <xf numFmtId="165" fontId="7" fillId="0" borderId="0" xfId="2" applyNumberFormat="1" applyFont="1" applyFill="1" applyAlignment="1"/>
    <xf numFmtId="165" fontId="11" fillId="0" borderId="0" xfId="2" applyNumberFormat="1" applyFont="1" applyFill="1" applyAlignment="1"/>
    <xf numFmtId="164" fontId="3" fillId="0" borderId="10" xfId="3" applyFont="1" applyFill="1" applyBorder="1" applyAlignment="1">
      <alignment horizontal="center"/>
    </xf>
    <xf numFmtId="165" fontId="21" fillId="0" borderId="10" xfId="2" applyNumberFormat="1" applyFont="1" applyFill="1" applyBorder="1" applyAlignment="1"/>
    <xf numFmtId="164" fontId="7" fillId="5" borderId="10" xfId="3" applyFont="1" applyFill="1" applyBorder="1" applyAlignment="1"/>
    <xf numFmtId="165" fontId="19" fillId="5" borderId="10" xfId="3" applyNumberFormat="1" applyFont="1" applyFill="1" applyBorder="1" applyAlignment="1"/>
    <xf numFmtId="166" fontId="21" fillId="0" borderId="10" xfId="3" applyNumberFormat="1" applyFont="1" applyFill="1" applyBorder="1" applyAlignment="1"/>
    <xf numFmtId="166" fontId="3" fillId="0" borderId="0" xfId="3" applyNumberFormat="1" applyFont="1" applyFill="1" applyAlignment="1"/>
    <xf numFmtId="164" fontId="19" fillId="5" borderId="0" xfId="3" applyFont="1" applyFill="1" applyAlignment="1">
      <alignment wrapText="1"/>
    </xf>
    <xf numFmtId="164" fontId="19" fillId="5" borderId="0" xfId="3" applyFont="1" applyFill="1" applyAlignment="1"/>
    <xf numFmtId="166" fontId="19" fillId="5" borderId="0" xfId="3" applyNumberFormat="1" applyFont="1" applyFill="1" applyAlignment="1"/>
    <xf numFmtId="164" fontId="3" fillId="6" borderId="0" xfId="3" applyFont="1" applyFill="1" applyAlignment="1"/>
    <xf numFmtId="164" fontId="7" fillId="0" borderId="10" xfId="3" applyFont="1" applyFill="1" applyBorder="1" applyAlignment="1"/>
    <xf numFmtId="165" fontId="11" fillId="0" borderId="10" xfId="2" applyNumberFormat="1" applyFont="1" applyFill="1" applyBorder="1" applyAlignment="1"/>
    <xf numFmtId="164" fontId="7" fillId="5" borderId="0" xfId="3" applyFont="1" applyFill="1" applyAlignment="1"/>
    <xf numFmtId="165" fontId="11" fillId="5" borderId="0" xfId="2" applyNumberFormat="1" applyFont="1" applyFill="1" applyAlignment="1"/>
    <xf numFmtId="164" fontId="9" fillId="0" borderId="0" xfId="3" applyFont="1" applyFill="1" applyAlignment="1">
      <alignment horizontal="right"/>
    </xf>
    <xf numFmtId="164" fontId="9" fillId="0" borderId="0" xfId="3" applyFont="1" applyFill="1" applyAlignment="1"/>
    <xf numFmtId="164" fontId="9" fillId="0" borderId="0" xfId="3" applyFont="1" applyFill="1" applyAlignment="1">
      <alignment horizontal="justify"/>
    </xf>
    <xf numFmtId="164" fontId="22" fillId="0" borderId="0" xfId="3" applyFont="1" applyFill="1" applyAlignment="1"/>
    <xf numFmtId="164" fontId="9" fillId="0" borderId="15" xfId="3" applyFont="1" applyFill="1" applyBorder="1" applyAlignment="1">
      <alignment horizontal="center"/>
    </xf>
    <xf numFmtId="164" fontId="10" fillId="0" borderId="16" xfId="3" applyFont="1" applyFill="1" applyBorder="1" applyAlignment="1">
      <alignment horizontal="center" vertical="top" wrapText="1"/>
    </xf>
    <xf numFmtId="164" fontId="10" fillId="0" borderId="17" xfId="3" applyFont="1" applyFill="1" applyBorder="1" applyAlignment="1">
      <alignment horizontal="center" vertical="top" wrapText="1"/>
    </xf>
    <xf numFmtId="164" fontId="10" fillId="0" borderId="18" xfId="3" applyFont="1" applyFill="1" applyBorder="1" applyAlignment="1">
      <alignment horizontal="center" vertical="top" wrapText="1"/>
    </xf>
    <xf numFmtId="164" fontId="10" fillId="0" borderId="19" xfId="3" applyFont="1" applyFill="1" applyBorder="1" applyAlignment="1">
      <alignment horizontal="center" vertical="top" wrapText="1"/>
    </xf>
    <xf numFmtId="164" fontId="10" fillId="0" borderId="10" xfId="3" applyFont="1" applyFill="1" applyBorder="1" applyAlignment="1">
      <alignment horizontal="center" vertical="top" wrapText="1"/>
    </xf>
    <xf numFmtId="164" fontId="3" fillId="0" borderId="3" xfId="3" applyFont="1" applyFill="1" applyBorder="1" applyAlignment="1">
      <alignment vertical="top" wrapText="1"/>
    </xf>
    <xf numFmtId="164" fontId="10" fillId="0" borderId="20" xfId="3" applyFont="1" applyFill="1" applyBorder="1" applyAlignment="1">
      <alignment horizontal="center" vertical="top" wrapText="1"/>
    </xf>
    <xf numFmtId="164" fontId="9" fillId="5" borderId="5" xfId="3" applyFont="1" applyFill="1" applyBorder="1" applyAlignment="1">
      <alignment vertical="top" wrapText="1"/>
    </xf>
    <xf numFmtId="164" fontId="23" fillId="5" borderId="19" xfId="3" applyFont="1" applyFill="1" applyBorder="1" applyAlignment="1">
      <alignment horizontal="right" vertical="top" wrapText="1"/>
    </xf>
    <xf numFmtId="164" fontId="23" fillId="5" borderId="10" xfId="3" applyFont="1" applyFill="1" applyBorder="1" applyAlignment="1">
      <alignment horizontal="right" vertical="top" wrapText="1"/>
    </xf>
    <xf numFmtId="164" fontId="10" fillId="0" borderId="5" xfId="3" applyFont="1" applyFill="1" applyBorder="1" applyAlignment="1">
      <alignment vertical="top" wrapText="1"/>
    </xf>
    <xf numFmtId="164" fontId="24" fillId="0" borderId="19" xfId="3" applyFont="1" applyFill="1" applyBorder="1" applyAlignment="1">
      <alignment horizontal="right" vertical="top" wrapText="1"/>
    </xf>
    <xf numFmtId="164" fontId="24" fillId="0" borderId="10" xfId="3" applyFont="1" applyFill="1" applyBorder="1" applyAlignment="1">
      <alignment horizontal="right" vertical="top" wrapText="1"/>
    </xf>
    <xf numFmtId="164" fontId="23" fillId="5" borderId="7" xfId="3" applyFont="1" applyFill="1" applyBorder="1" applyAlignment="1">
      <alignment horizontal="right" vertical="top" wrapText="1"/>
    </xf>
    <xf numFmtId="49" fontId="0" fillId="0" borderId="0" xfId="0" applyNumberFormat="1" applyAlignment="1">
      <alignment wrapText="1"/>
    </xf>
    <xf numFmtId="3" fontId="3" fillId="0" borderId="0" xfId="0" applyNumberFormat="1" applyFont="1"/>
    <xf numFmtId="164" fontId="7" fillId="0" borderId="0" xfId="3" applyFont="1" applyFill="1" applyAlignment="1">
      <alignment horizontal="center"/>
    </xf>
    <xf numFmtId="0" fontId="0" fillId="0" borderId="0" xfId="0"/>
    <xf numFmtId="164" fontId="3" fillId="0" borderId="21" xfId="3" applyFont="1" applyFill="1" applyBorder="1" applyAlignment="1"/>
    <xf numFmtId="167" fontId="3" fillId="0" borderId="21" xfId="1" applyNumberFormat="1" applyFont="1" applyFill="1" applyBorder="1" applyAlignment="1"/>
    <xf numFmtId="167" fontId="3" fillId="0" borderId="21" xfId="1" applyNumberFormat="1" applyFont="1" applyFill="1" applyBorder="1" applyAlignment="1">
      <alignment horizontal="right"/>
    </xf>
    <xf numFmtId="164" fontId="3" fillId="0" borderId="7" xfId="3" applyFont="1" applyFill="1" applyBorder="1" applyAlignment="1"/>
    <xf numFmtId="167" fontId="3" fillId="0" borderId="22" xfId="1" applyNumberFormat="1" applyFont="1" applyFill="1" applyBorder="1" applyAlignment="1"/>
    <xf numFmtId="0" fontId="16" fillId="0" borderId="0" xfId="0" applyFont="1" applyAlignment="1">
      <alignment wrapText="1"/>
    </xf>
    <xf numFmtId="165" fontId="11" fillId="0" borderId="0" xfId="3" applyNumberFormat="1" applyFont="1" applyFill="1" applyAlignment="1"/>
    <xf numFmtId="0" fontId="0" fillId="0" borderId="0" xfId="0" applyFill="1"/>
    <xf numFmtId="164" fontId="3" fillId="0" borderId="7" xfId="3" applyFont="1" applyFill="1" applyBorder="1" applyAlignment="1">
      <alignment wrapText="1"/>
    </xf>
    <xf numFmtId="166" fontId="21" fillId="0" borderId="7" xfId="3" applyNumberFormat="1" applyFont="1" applyFill="1" applyBorder="1" applyAlignment="1"/>
    <xf numFmtId="164" fontId="3" fillId="0" borderId="21" xfId="3" applyFont="1" applyFill="1" applyBorder="1" applyAlignment="1">
      <alignment wrapText="1"/>
    </xf>
    <xf numFmtId="166" fontId="21" fillId="0" borderId="21" xfId="3" applyNumberFormat="1" applyFont="1" applyFill="1" applyBorder="1" applyAlignment="1"/>
    <xf numFmtId="164" fontId="10" fillId="0" borderId="0" xfId="3" applyFont="1" applyFill="1" applyAlignme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Fill="1"/>
    <xf numFmtId="0" fontId="9" fillId="0" borderId="0" xfId="0" applyFont="1" applyAlignment="1">
      <alignment wrapText="1"/>
    </xf>
    <xf numFmtId="0" fontId="25" fillId="0" borderId="23" xfId="0" applyFont="1" applyBorder="1"/>
    <xf numFmtId="0" fontId="25" fillId="0" borderId="21" xfId="0" applyFont="1" applyBorder="1"/>
    <xf numFmtId="3" fontId="25" fillId="0" borderId="21" xfId="0" applyNumberFormat="1" applyFont="1" applyBorder="1" applyAlignment="1">
      <alignment horizontal="right"/>
    </xf>
    <xf numFmtId="3" fontId="25" fillId="0" borderId="24" xfId="0" applyNumberFormat="1" applyFont="1" applyBorder="1"/>
    <xf numFmtId="3" fontId="25" fillId="0" borderId="21" xfId="0" applyNumberFormat="1" applyFont="1" applyBorder="1"/>
    <xf numFmtId="0" fontId="25" fillId="0" borderId="25" xfId="0" applyFont="1" applyBorder="1"/>
    <xf numFmtId="0" fontId="25" fillId="0" borderId="22" xfId="0" applyFont="1" applyBorder="1"/>
    <xf numFmtId="3" fontId="25" fillId="0" borderId="22" xfId="0" applyNumberFormat="1" applyFont="1" applyBorder="1"/>
    <xf numFmtId="3" fontId="25" fillId="0" borderId="26" xfId="0" applyNumberFormat="1" applyFont="1" applyBorder="1"/>
    <xf numFmtId="0" fontId="25" fillId="0" borderId="21" xfId="0" applyFont="1" applyBorder="1" applyAlignment="1">
      <alignment horizontal="right"/>
    </xf>
    <xf numFmtId="0" fontId="25" fillId="0" borderId="0" xfId="0" applyFont="1" applyBorder="1"/>
    <xf numFmtId="3" fontId="26" fillId="0" borderId="0" xfId="0" applyNumberFormat="1" applyFont="1" applyBorder="1"/>
    <xf numFmtId="167" fontId="9" fillId="0" borderId="0" xfId="1" applyNumberFormat="1" applyFont="1" applyFill="1" applyAlignment="1"/>
    <xf numFmtId="0" fontId="25" fillId="0" borderId="27" xfId="0" applyFont="1" applyBorder="1"/>
    <xf numFmtId="3" fontId="26" fillId="0" borderId="27" xfId="0" applyNumberFormat="1" applyFont="1" applyBorder="1"/>
    <xf numFmtId="0" fontId="26" fillId="0" borderId="27" xfId="0" applyFont="1" applyBorder="1"/>
    <xf numFmtId="0" fontId="26" fillId="0" borderId="0" xfId="0" applyFont="1" applyBorder="1"/>
    <xf numFmtId="164" fontId="9" fillId="0" borderId="0" xfId="3" applyFont="1" applyFill="1" applyBorder="1" applyAlignment="1">
      <alignment horizontal="center"/>
    </xf>
    <xf numFmtId="164" fontId="24" fillId="0" borderId="28" xfId="3" applyFont="1" applyFill="1" applyBorder="1" applyAlignment="1">
      <alignment horizontal="right" vertical="top" wrapText="1"/>
    </xf>
    <xf numFmtId="164" fontId="7" fillId="0" borderId="0" xfId="3" applyFont="1" applyFill="1" applyAlignment="1">
      <alignment horizontal="center"/>
    </xf>
    <xf numFmtId="0" fontId="0" fillId="0" borderId="0" xfId="0"/>
    <xf numFmtId="164" fontId="11" fillId="0" borderId="0" xfId="3" applyFont="1" applyFill="1" applyAlignment="1">
      <alignment horizontal="center"/>
    </xf>
    <xf numFmtId="164" fontId="7" fillId="0" borderId="0" xfId="3" applyFont="1" applyFill="1" applyAlignment="1">
      <alignment horizontal="center"/>
    </xf>
    <xf numFmtId="0" fontId="0" fillId="0" borderId="0" xfId="0"/>
    <xf numFmtId="164" fontId="11" fillId="0" borderId="0" xfId="3" applyFont="1" applyFill="1" applyAlignment="1">
      <alignment horizontal="center"/>
    </xf>
    <xf numFmtId="1" fontId="3" fillId="0" borderId="21" xfId="1" applyNumberFormat="1" applyFont="1" applyFill="1" applyBorder="1" applyAlignment="1"/>
    <xf numFmtId="166" fontId="14" fillId="0" borderId="0" xfId="3" applyNumberFormat="1" applyFont="1" applyFill="1" applyBorder="1" applyAlignment="1"/>
    <xf numFmtId="166" fontId="14" fillId="0" borderId="13" xfId="3" applyNumberFormat="1" applyFont="1" applyFill="1" applyBorder="1" applyAlignment="1"/>
    <xf numFmtId="166" fontId="14" fillId="0" borderId="21" xfId="3" applyNumberFormat="1" applyFont="1" applyFill="1" applyBorder="1" applyAlignment="1"/>
    <xf numFmtId="0" fontId="0" fillId="0" borderId="0" xfId="0"/>
    <xf numFmtId="164" fontId="12" fillId="2" borderId="0" xfId="3" applyFont="1" applyFill="1" applyBorder="1" applyAlignment="1">
      <alignment horizontal="center" wrapText="1"/>
    </xf>
    <xf numFmtId="164" fontId="3" fillId="0" borderId="13" xfId="3" applyFont="1" applyFill="1" applyBorder="1" applyAlignment="1">
      <alignment wrapText="1"/>
    </xf>
    <xf numFmtId="164" fontId="3" fillId="0" borderId="22" xfId="3" applyFont="1" applyFill="1" applyBorder="1" applyAlignment="1">
      <alignment wrapText="1"/>
    </xf>
    <xf numFmtId="166" fontId="21" fillId="0" borderId="22" xfId="3" applyNumberFormat="1" applyFont="1" applyFill="1" applyBorder="1" applyAlignment="1"/>
    <xf numFmtId="1" fontId="3" fillId="0" borderId="0" xfId="3" applyNumberFormat="1" applyFont="1" applyFill="1" applyAlignment="1"/>
    <xf numFmtId="2" fontId="25" fillId="0" borderId="21" xfId="0" applyNumberFormat="1" applyFont="1" applyBorder="1"/>
    <xf numFmtId="166" fontId="13" fillId="3" borderId="13" xfId="3" applyNumberFormat="1" applyFont="1" applyFill="1" applyBorder="1" applyAlignment="1"/>
    <xf numFmtId="0" fontId="0" fillId="0" borderId="0" xfId="0"/>
    <xf numFmtId="164" fontId="7" fillId="8" borderId="10" xfId="3" applyFont="1" applyFill="1" applyBorder="1" applyAlignment="1">
      <alignment vertical="top" wrapText="1"/>
    </xf>
    <xf numFmtId="164" fontId="7" fillId="0" borderId="0" xfId="3" applyFont="1" applyFill="1" applyAlignment="1">
      <alignment horizontal="center"/>
    </xf>
    <xf numFmtId="0" fontId="0" fillId="0" borderId="0" xfId="0"/>
    <xf numFmtId="164" fontId="11" fillId="0" borderId="0" xfId="3" applyFont="1" applyFill="1" applyAlignment="1">
      <alignment horizontal="center"/>
    </xf>
    <xf numFmtId="9" fontId="14" fillId="0" borderId="11" xfId="12" applyFont="1" applyFill="1" applyBorder="1" applyAlignment="1"/>
    <xf numFmtId="9" fontId="13" fillId="3" borderId="10" xfId="12" applyFont="1" applyFill="1" applyBorder="1" applyAlignment="1"/>
    <xf numFmtId="9" fontId="14" fillId="0" borderId="21" xfId="12" applyFont="1" applyFill="1" applyBorder="1" applyAlignment="1"/>
    <xf numFmtId="9" fontId="14" fillId="0" borderId="10" xfId="12" applyFont="1" applyFill="1" applyBorder="1" applyAlignment="1"/>
    <xf numFmtId="9" fontId="13" fillId="0" borderId="10" xfId="12" applyFont="1" applyFill="1" applyBorder="1" applyAlignment="1"/>
    <xf numFmtId="9" fontId="14" fillId="0" borderId="0" xfId="12" applyFont="1" applyFill="1" applyBorder="1" applyAlignment="1"/>
    <xf numFmtId="167" fontId="3" fillId="0" borderId="21" xfId="1" applyNumberFormat="1" applyFont="1" applyFill="1" applyBorder="1" applyAlignment="1">
      <alignment horizontal="center"/>
    </xf>
    <xf numFmtId="167" fontId="3" fillId="0" borderId="29" xfId="1" applyNumberFormat="1" applyFont="1" applyFill="1" applyBorder="1" applyAlignment="1">
      <alignment horizontal="right"/>
    </xf>
    <xf numFmtId="167" fontId="3" fillId="0" borderId="22" xfId="1" applyNumberFormat="1" applyFont="1" applyFill="1" applyBorder="1" applyAlignment="1">
      <alignment horizontal="right"/>
    </xf>
    <xf numFmtId="166" fontId="13" fillId="3" borderId="0" xfId="3" applyNumberFormat="1" applyFont="1" applyFill="1" applyBorder="1" applyAlignment="1"/>
    <xf numFmtId="9" fontId="13" fillId="3" borderId="0" xfId="12" applyFont="1" applyFill="1" applyBorder="1" applyAlignment="1"/>
    <xf numFmtId="9" fontId="13" fillId="0" borderId="0" xfId="12" applyFont="1" applyFill="1" applyBorder="1" applyAlignment="1"/>
    <xf numFmtId="167" fontId="3" fillId="0" borderId="0" xfId="1" applyNumberFormat="1" applyFont="1" applyFill="1" applyAlignment="1"/>
    <xf numFmtId="9" fontId="3" fillId="0" borderId="0" xfId="12" applyFont="1" applyFill="1" applyAlignment="1"/>
    <xf numFmtId="164" fontId="14" fillId="0" borderId="10" xfId="3" applyFont="1" applyFill="1" applyBorder="1" applyAlignment="1">
      <alignment wrapText="1"/>
    </xf>
    <xf numFmtId="9" fontId="13" fillId="7" borderId="21" xfId="12" applyFont="1" applyFill="1" applyBorder="1" applyAlignment="1"/>
    <xf numFmtId="9" fontId="13" fillId="0" borderId="21" xfId="12" applyFont="1" applyFill="1" applyBorder="1" applyAlignment="1"/>
    <xf numFmtId="164" fontId="23" fillId="5" borderId="30" xfId="3" applyFont="1" applyFill="1" applyBorder="1" applyAlignment="1">
      <alignment horizontal="right" vertical="top" wrapText="1"/>
    </xf>
    <xf numFmtId="164" fontId="23" fillId="5" borderId="21" xfId="3" applyFont="1" applyFill="1" applyBorder="1" applyAlignment="1">
      <alignment horizontal="right" vertical="top" wrapText="1"/>
    </xf>
    <xf numFmtId="164" fontId="24" fillId="9" borderId="21" xfId="3" applyFont="1" applyFill="1" applyBorder="1" applyAlignment="1">
      <alignment horizontal="right" vertical="top" wrapText="1"/>
    </xf>
    <xf numFmtId="164" fontId="23" fillId="5" borderId="31" xfId="3" applyFont="1" applyFill="1" applyBorder="1" applyAlignment="1">
      <alignment horizontal="right" vertical="top" wrapText="1"/>
    </xf>
    <xf numFmtId="164" fontId="7" fillId="0" borderId="21" xfId="3" applyFont="1" applyFill="1" applyBorder="1" applyAlignment="1"/>
    <xf numFmtId="164" fontId="7" fillId="0" borderId="21" xfId="3" applyFont="1" applyFill="1" applyBorder="1" applyAlignment="1">
      <alignment wrapText="1"/>
    </xf>
    <xf numFmtId="164" fontId="7" fillId="0" borderId="0" xfId="3" applyFont="1" applyFill="1" applyAlignment="1">
      <alignment horizontal="center"/>
    </xf>
    <xf numFmtId="164" fontId="8" fillId="0" borderId="0" xfId="3" applyFont="1" applyFill="1" applyAlignment="1">
      <alignment horizontal="center"/>
    </xf>
    <xf numFmtId="164" fontId="9" fillId="0" borderId="0" xfId="3" applyFont="1" applyFill="1" applyAlignment="1">
      <alignment horizontal="center"/>
    </xf>
    <xf numFmtId="0" fontId="0" fillId="0" borderId="0" xfId="0"/>
    <xf numFmtId="164" fontId="11" fillId="0" borderId="0" xfId="3" applyFont="1" applyFill="1" applyAlignment="1">
      <alignment horizontal="center"/>
    </xf>
    <xf numFmtId="164" fontId="12" fillId="2" borderId="6" xfId="3" applyFont="1" applyFill="1" applyBorder="1" applyAlignment="1">
      <alignment horizontal="center" wrapText="1"/>
    </xf>
    <xf numFmtId="167" fontId="3" fillId="0" borderId="22" xfId="1" applyNumberFormat="1" applyFont="1" applyFill="1" applyBorder="1" applyAlignment="1">
      <alignment horizontal="center"/>
    </xf>
    <xf numFmtId="167" fontId="3" fillId="0" borderId="29" xfId="1" applyNumberFormat="1" applyFont="1" applyFill="1" applyBorder="1" applyAlignment="1">
      <alignment horizontal="center"/>
    </xf>
    <xf numFmtId="167" fontId="3" fillId="0" borderId="22" xfId="1" applyNumberFormat="1" applyFont="1" applyFill="1" applyBorder="1" applyAlignment="1">
      <alignment horizontal="right"/>
    </xf>
    <xf numFmtId="167" fontId="3" fillId="0" borderId="29" xfId="1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164" fontId="3" fillId="0" borderId="0" xfId="3" applyFont="1" applyFill="1" applyAlignment="1">
      <alignment horizontal="center"/>
    </xf>
    <xf numFmtId="164" fontId="9" fillId="0" borderId="0" xfId="3" applyFont="1" applyFill="1" applyAlignment="1">
      <alignment horizontal="center" wrapText="1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</cellXfs>
  <cellStyles count="14">
    <cellStyle name="Excel Built-in Comma" xfId="2"/>
    <cellStyle name="Excel Built-in Normal" xfId="3"/>
    <cellStyle name="Ezres" xfId="1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Normál 5" xfId="13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terv/t&#225;rsul&#225;s/T&#233;rs&#233;gi/M&#225;solat%20eredetijeK&#246;lts&#233;gvet&#233;s%20t&#225;rsul&#225;s%202016.12.14%20j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25">
          <cell r="E25">
            <v>86295000</v>
          </cell>
        </row>
        <row r="64">
          <cell r="E64">
            <v>190900000</v>
          </cell>
        </row>
        <row r="65">
          <cell r="E65">
            <v>850000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92">
          <cell r="D92">
            <v>224061872</v>
          </cell>
        </row>
        <row r="95">
          <cell r="D95">
            <v>10091000</v>
          </cell>
        </row>
        <row r="96">
          <cell r="D96">
            <v>17000000</v>
          </cell>
        </row>
        <row r="97">
          <cell r="D97">
            <v>210840000</v>
          </cell>
        </row>
        <row r="98">
          <cell r="D98">
            <v>0</v>
          </cell>
        </row>
        <row r="99">
          <cell r="D99">
            <v>18918803</v>
          </cell>
        </row>
        <row r="102">
          <cell r="D102">
            <v>114660825</v>
          </cell>
        </row>
        <row r="105">
          <cell r="D105">
            <v>93047238</v>
          </cell>
        </row>
      </sheetData>
      <sheetData sheetId="1" refreshError="1">
        <row r="24">
          <cell r="E24">
            <v>100941313</v>
          </cell>
        </row>
        <row r="25">
          <cell r="E25">
            <v>26962000</v>
          </cell>
        </row>
        <row r="64">
          <cell r="E64">
            <v>26150000</v>
          </cell>
        </row>
        <row r="65">
          <cell r="E65">
            <v>420000</v>
          </cell>
        </row>
        <row r="89">
          <cell r="D89">
            <v>93054228</v>
          </cell>
        </row>
        <row r="92">
          <cell r="D92">
            <v>2900000</v>
          </cell>
        </row>
        <row r="93">
          <cell r="D93">
            <v>700000</v>
          </cell>
        </row>
        <row r="94">
          <cell r="D94">
            <v>4228284</v>
          </cell>
        </row>
        <row r="98">
          <cell r="D98">
            <v>53590801</v>
          </cell>
        </row>
        <row r="99">
          <cell r="D99">
            <v>4146216</v>
          </cell>
        </row>
        <row r="100">
          <cell r="D100">
            <v>49444585</v>
          </cell>
        </row>
      </sheetData>
      <sheetData sheetId="2" refreshError="1">
        <row r="8">
          <cell r="E8">
            <v>500000</v>
          </cell>
        </row>
        <row r="12">
          <cell r="E12">
            <v>256000</v>
          </cell>
        </row>
        <row r="20">
          <cell r="E20">
            <v>11810000</v>
          </cell>
        </row>
        <row r="25">
          <cell r="E25">
            <v>6340000</v>
          </cell>
        </row>
        <row r="26">
          <cell r="E26">
            <v>26447957.899999999</v>
          </cell>
        </row>
        <row r="36">
          <cell r="E36">
            <v>1800000</v>
          </cell>
        </row>
        <row r="52">
          <cell r="E52">
            <v>317116100</v>
          </cell>
        </row>
        <row r="53">
          <cell r="E53">
            <v>142491823</v>
          </cell>
        </row>
        <row r="56">
          <cell r="E56">
            <v>27076010</v>
          </cell>
        </row>
        <row r="63">
          <cell r="E63">
            <v>19019760</v>
          </cell>
        </row>
        <row r="71">
          <cell r="E71">
            <v>10091000</v>
          </cell>
        </row>
        <row r="72">
          <cell r="E72">
            <v>16726991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25">
          <cell r="G25">
            <v>98000400</v>
          </cell>
        </row>
        <row r="64">
          <cell r="G64">
            <v>193270000</v>
          </cell>
        </row>
        <row r="65">
          <cell r="G65">
            <v>850000</v>
          </cell>
        </row>
        <row r="87">
          <cell r="G87">
            <v>16000000</v>
          </cell>
        </row>
        <row r="88">
          <cell r="G88">
            <v>29200000</v>
          </cell>
        </row>
        <row r="89">
          <cell r="G89">
            <v>340000</v>
          </cell>
        </row>
        <row r="90">
          <cell r="G90">
            <v>6000000</v>
          </cell>
        </row>
        <row r="91">
          <cell r="G91">
            <v>1500000</v>
          </cell>
        </row>
        <row r="92">
          <cell r="G92">
            <v>198000000</v>
          </cell>
        </row>
        <row r="93">
          <cell r="G93">
            <v>10700000</v>
          </cell>
        </row>
        <row r="95">
          <cell r="G95">
            <v>12090368</v>
          </cell>
        </row>
        <row r="97">
          <cell r="G97">
            <v>10090368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7">
          <cell r="G117">
            <v>36000000</v>
          </cell>
        </row>
        <row r="118">
          <cell r="G118">
            <v>42317678</v>
          </cell>
        </row>
        <row r="122">
          <cell r="G122">
            <v>388995032</v>
          </cell>
        </row>
        <row r="124">
          <cell r="G124">
            <v>240385295</v>
          </cell>
        </row>
        <row r="125">
          <cell r="G125">
            <v>42317678</v>
          </cell>
        </row>
        <row r="126">
          <cell r="G126">
            <v>17450784</v>
          </cell>
        </row>
      </sheetData>
      <sheetData sheetId="1"/>
      <sheetData sheetId="2">
        <row r="24">
          <cell r="G24">
            <v>141381508</v>
          </cell>
        </row>
        <row r="25">
          <cell r="G25">
            <v>32227057</v>
          </cell>
        </row>
        <row r="64">
          <cell r="G64">
            <v>26640000</v>
          </cell>
        </row>
        <row r="65">
          <cell r="G65">
            <v>420000</v>
          </cell>
        </row>
        <row r="86">
          <cell r="F86">
            <v>5716475</v>
          </cell>
        </row>
        <row r="88">
          <cell r="F88">
            <v>84916475</v>
          </cell>
        </row>
        <row r="94">
          <cell r="F94">
            <v>3000000</v>
          </cell>
        </row>
        <row r="101">
          <cell r="F101">
            <v>194668565</v>
          </cell>
        </row>
        <row r="102">
          <cell r="F102">
            <v>3000000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/>
      <sheetData sheetId="4">
        <row r="9">
          <cell r="E9">
            <v>500000</v>
          </cell>
        </row>
        <row r="13">
          <cell r="E13">
            <v>249000</v>
          </cell>
        </row>
        <row r="21">
          <cell r="E21">
            <v>11812368</v>
          </cell>
        </row>
        <row r="23">
          <cell r="E23">
            <v>3600000</v>
          </cell>
        </row>
        <row r="24">
          <cell r="E24">
            <v>900000</v>
          </cell>
        </row>
        <row r="25">
          <cell r="E25">
            <v>1840000</v>
          </cell>
        </row>
        <row r="26">
          <cell r="E26">
            <v>6340000</v>
          </cell>
        </row>
        <row r="27">
          <cell r="E27">
            <v>21770798.640000001</v>
          </cell>
        </row>
        <row r="32">
          <cell r="E32">
            <v>1098541.68</v>
          </cell>
        </row>
        <row r="33">
          <cell r="E33">
            <v>7480878.96</v>
          </cell>
        </row>
        <row r="36">
          <cell r="E36">
            <v>235000000</v>
          </cell>
        </row>
        <row r="38">
          <cell r="E38">
            <v>583663597</v>
          </cell>
        </row>
        <row r="52">
          <cell r="E52">
            <v>391421743</v>
          </cell>
        </row>
        <row r="53">
          <cell r="E53">
            <v>156710369</v>
          </cell>
        </row>
        <row r="54">
          <cell r="E54">
            <v>78217295</v>
          </cell>
        </row>
        <row r="55">
          <cell r="E55">
            <v>78493074</v>
          </cell>
        </row>
        <row r="56">
          <cell r="E56">
            <v>33788284</v>
          </cell>
        </row>
        <row r="57">
          <cell r="E57">
            <v>17450784</v>
          </cell>
        </row>
        <row r="58">
          <cell r="E58">
            <v>8822250</v>
          </cell>
        </row>
        <row r="59">
          <cell r="E59">
            <v>653500</v>
          </cell>
        </row>
        <row r="60">
          <cell r="E60">
            <v>3267500</v>
          </cell>
        </row>
        <row r="61">
          <cell r="E61">
            <v>326750</v>
          </cell>
        </row>
        <row r="62">
          <cell r="E62">
            <v>3267500</v>
          </cell>
        </row>
        <row r="63">
          <cell r="E63">
            <v>22325000</v>
          </cell>
        </row>
        <row r="64">
          <cell r="E64">
            <v>12055500</v>
          </cell>
        </row>
        <row r="65">
          <cell r="E65">
            <v>4465000</v>
          </cell>
        </row>
        <row r="66">
          <cell r="E66">
            <v>893000</v>
          </cell>
        </row>
        <row r="67">
          <cell r="E67">
            <v>446500</v>
          </cell>
        </row>
        <row r="68">
          <cell r="E68">
            <v>4465000</v>
          </cell>
        </row>
        <row r="70">
          <cell r="E70">
            <v>235000000</v>
          </cell>
        </row>
        <row r="72">
          <cell r="E72">
            <v>10090368</v>
          </cell>
        </row>
        <row r="73">
          <cell r="E73">
            <v>10000000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opLeftCell="A12" workbookViewId="0">
      <selection activeCell="G15" sqref="G15"/>
    </sheetView>
  </sheetViews>
  <sheetFormatPr defaultRowHeight="15" x14ac:dyDescent="0.25"/>
  <cols>
    <col min="1" max="1" width="38.375" style="1" customWidth="1"/>
    <col min="2" max="2" width="39.5" style="1" customWidth="1"/>
    <col min="3" max="1024" width="8.75" style="1" customWidth="1"/>
    <col min="1025" max="1025" width="9" customWidth="1"/>
  </cols>
  <sheetData>
    <row r="1" spans="1:1024" x14ac:dyDescent="0.25">
      <c r="B1" s="2" t="s">
        <v>0</v>
      </c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179" t="s">
        <v>1</v>
      </c>
      <c r="B5" s="179"/>
      <c r="C5" s="2"/>
    </row>
    <row r="6" spans="1:1024" x14ac:dyDescent="0.25">
      <c r="A6" s="179" t="s">
        <v>238</v>
      </c>
      <c r="B6" s="179"/>
    </row>
    <row r="7" spans="1:1024" x14ac:dyDescent="0.25">
      <c r="A7" s="2"/>
    </row>
    <row r="8" spans="1:1024" x14ac:dyDescent="0.25">
      <c r="A8" s="2"/>
    </row>
    <row r="11" spans="1:1024" x14ac:dyDescent="0.25">
      <c r="A11" s="179" t="s">
        <v>2</v>
      </c>
      <c r="B11" s="179"/>
    </row>
    <row r="12" spans="1:1024" x14ac:dyDescent="0.25">
      <c r="A12" s="179" t="s">
        <v>229</v>
      </c>
      <c r="B12" s="179"/>
    </row>
    <row r="13" spans="1:1024" s="96" customFormat="1" x14ac:dyDescent="0.25">
      <c r="A13" s="95"/>
      <c r="B13" s="9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ht="15.75" x14ac:dyDescent="0.25">
      <c r="A14" s="180" t="s">
        <v>3</v>
      </c>
      <c r="B14" s="180"/>
    </row>
    <row r="15" spans="1:1024" ht="15.75" x14ac:dyDescent="0.25">
      <c r="A15" s="181" t="s">
        <v>4</v>
      </c>
      <c r="B15" s="181"/>
    </row>
    <row r="16" spans="1:1024" ht="15.75" x14ac:dyDescent="0.25">
      <c r="A16" s="4"/>
      <c r="B16" s="4"/>
    </row>
    <row r="17" spans="1:2" ht="15.75" x14ac:dyDescent="0.25">
      <c r="A17" s="4"/>
      <c r="B17" s="4"/>
    </row>
    <row r="18" spans="1:2" ht="15.75" x14ac:dyDescent="0.25">
      <c r="A18" s="4"/>
    </row>
    <row r="19" spans="1:2" ht="16.5" thickBot="1" x14ac:dyDescent="0.3">
      <c r="A19" s="4"/>
    </row>
    <row r="20" spans="1:2" ht="17.25" thickTop="1" thickBot="1" x14ac:dyDescent="0.3">
      <c r="A20" s="5" t="s">
        <v>5</v>
      </c>
      <c r="B20" s="6" t="s">
        <v>6</v>
      </c>
    </row>
    <row r="21" spans="1:2" ht="48" customHeight="1" thickTop="1" thickBot="1" x14ac:dyDescent="0.3">
      <c r="A21" s="7" t="s">
        <v>7</v>
      </c>
      <c r="B21" s="8" t="s">
        <v>8</v>
      </c>
    </row>
    <row r="22" spans="1:2" ht="48" customHeight="1" thickTop="1" thickBot="1" x14ac:dyDescent="0.3">
      <c r="A22" s="7" t="s">
        <v>9</v>
      </c>
      <c r="B22" s="9" t="s">
        <v>10</v>
      </c>
    </row>
    <row r="23" spans="1:2" ht="48" customHeight="1" thickTop="1" thickBot="1" x14ac:dyDescent="0.3">
      <c r="A23" s="10" t="s">
        <v>11</v>
      </c>
      <c r="B23" s="9" t="s">
        <v>226</v>
      </c>
    </row>
    <row r="24" spans="1:2" ht="16.5" thickTop="1" x14ac:dyDescent="0.25">
      <c r="A24" s="11"/>
    </row>
    <row r="25" spans="1:2" ht="15.75" x14ac:dyDescent="0.25">
      <c r="A25" s="11"/>
    </row>
  </sheetData>
  <mergeCells count="6">
    <mergeCell ref="A5:B5"/>
    <mergeCell ref="A6:B6"/>
    <mergeCell ref="A11:B11"/>
    <mergeCell ref="A14:B14"/>
    <mergeCell ref="A15:B15"/>
    <mergeCell ref="A12:B12"/>
  </mergeCells>
  <pageMargins left="1.24015748031496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42"/>
  <sheetViews>
    <sheetView topLeftCell="A31" workbookViewId="0">
      <selection activeCell="G10" sqref="G10:I37"/>
    </sheetView>
  </sheetViews>
  <sheetFormatPr defaultRowHeight="15" x14ac:dyDescent="0.25"/>
  <cols>
    <col min="1" max="1" width="52.75" style="1" customWidth="1"/>
    <col min="2" max="2" width="17.875" style="1" customWidth="1"/>
    <col min="3" max="5" width="16.625" style="1" customWidth="1"/>
    <col min="6" max="6" width="8.75" style="1" customWidth="1"/>
    <col min="7" max="7" width="10.5" style="1" customWidth="1"/>
    <col min="8" max="1026" width="8.75" style="1" customWidth="1"/>
    <col min="1027" max="1027" width="9" customWidth="1"/>
  </cols>
  <sheetData>
    <row r="1" spans="1:7" x14ac:dyDescent="0.25">
      <c r="B1" s="179" t="s">
        <v>12</v>
      </c>
      <c r="C1" s="179"/>
      <c r="D1" s="3"/>
      <c r="E1" s="3"/>
    </row>
    <row r="2" spans="1:7" x14ac:dyDescent="0.25">
      <c r="B2" s="2"/>
    </row>
    <row r="3" spans="1:7" x14ac:dyDescent="0.25">
      <c r="A3" s="179" t="s">
        <v>1</v>
      </c>
      <c r="B3" s="179"/>
      <c r="C3" s="179"/>
      <c r="D3" s="3"/>
      <c r="E3" s="3"/>
    </row>
    <row r="4" spans="1:7" x14ac:dyDescent="0.25">
      <c r="A4" s="179" t="s">
        <v>212</v>
      </c>
      <c r="B4" s="179"/>
      <c r="C4" s="179"/>
      <c r="D4" s="3"/>
      <c r="E4" s="3"/>
    </row>
    <row r="5" spans="1:7" ht="15.75" x14ac:dyDescent="0.25">
      <c r="A5" s="183" t="s">
        <v>13</v>
      </c>
      <c r="B5" s="183"/>
      <c r="C5" s="183"/>
      <c r="D5" s="12"/>
      <c r="E5" s="12"/>
    </row>
    <row r="6" spans="1:7" ht="15.75" x14ac:dyDescent="0.25">
      <c r="A6" s="183" t="s">
        <v>14</v>
      </c>
      <c r="B6" s="183"/>
      <c r="C6" s="183"/>
      <c r="D6" s="12"/>
      <c r="E6" s="12"/>
    </row>
    <row r="7" spans="1:7" ht="15.75" x14ac:dyDescent="0.25">
      <c r="A7" s="12"/>
      <c r="B7" s="12"/>
      <c r="C7" s="12"/>
      <c r="D7" s="12"/>
      <c r="E7" s="12"/>
    </row>
    <row r="8" spans="1:7" ht="15.75" customHeight="1" x14ac:dyDescent="0.25">
      <c r="A8" s="184" t="s">
        <v>15</v>
      </c>
      <c r="B8" s="184"/>
      <c r="C8" s="184"/>
      <c r="D8" s="13" t="s">
        <v>16</v>
      </c>
      <c r="E8" s="13" t="s">
        <v>17</v>
      </c>
    </row>
    <row r="9" spans="1:7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5" t="s">
        <v>19</v>
      </c>
    </row>
    <row r="10" spans="1:7" ht="31.5" x14ac:dyDescent="0.25">
      <c r="A10" s="16"/>
      <c r="B10" s="17" t="s">
        <v>204</v>
      </c>
      <c r="C10" s="17" t="s">
        <v>244</v>
      </c>
      <c r="D10" s="17" t="s">
        <v>245</v>
      </c>
      <c r="E10" s="17" t="s">
        <v>245</v>
      </c>
      <c r="F10" s="18" t="s">
        <v>165</v>
      </c>
    </row>
    <row r="11" spans="1:7" ht="15.75" x14ac:dyDescent="0.25">
      <c r="A11" s="19" t="s">
        <v>20</v>
      </c>
      <c r="B11" s="20">
        <f>'2B'!B12+'2C'!B12+'2D'!B12</f>
        <v>418968.81299999997</v>
      </c>
      <c r="C11" s="20">
        <f>'2B'!C12+'2C'!C12+'2D'!C12</f>
        <v>548586508</v>
      </c>
      <c r="D11" s="20">
        <f t="shared" ref="D11:D18" si="0">SUM(C11-E11)</f>
        <v>548086508</v>
      </c>
      <c r="E11" s="20">
        <f>'2D'!C12</f>
        <v>500000</v>
      </c>
      <c r="F11" s="21" t="s">
        <v>21</v>
      </c>
      <c r="G11" s="169"/>
    </row>
    <row r="12" spans="1:7" ht="15.75" x14ac:dyDescent="0.25">
      <c r="A12" s="19" t="s">
        <v>22</v>
      </c>
      <c r="B12" s="20">
        <f>'2B'!B13+'2C'!B13+'2D'!B13</f>
        <v>113513</v>
      </c>
      <c r="C12" s="20">
        <f>'2B'!C13+'2C'!C13+'2D'!C13</f>
        <v>130476457</v>
      </c>
      <c r="D12" s="20">
        <f t="shared" si="0"/>
        <v>130227457</v>
      </c>
      <c r="E12" s="20">
        <f>'2D'!C13</f>
        <v>249000</v>
      </c>
      <c r="F12" s="21" t="s">
        <v>23</v>
      </c>
      <c r="G12" s="169"/>
    </row>
    <row r="13" spans="1:7" ht="15.75" x14ac:dyDescent="0.25">
      <c r="A13" s="19" t="s">
        <v>24</v>
      </c>
      <c r="B13" s="20">
        <f>'2B'!B14+'2C'!B14+'2D'!B14</f>
        <v>228860</v>
      </c>
      <c r="C13" s="20">
        <f>'2B'!C14+'2C'!C14+'2D'!C14</f>
        <v>231722368</v>
      </c>
      <c r="D13" s="20">
        <f t="shared" si="0"/>
        <v>219920091</v>
      </c>
      <c r="E13" s="20">
        <f>'2D'!C14-10091</f>
        <v>11802277</v>
      </c>
      <c r="F13" s="21" t="s">
        <v>25</v>
      </c>
      <c r="G13" s="169"/>
    </row>
    <row r="14" spans="1:7" ht="15.75" x14ac:dyDescent="0.25">
      <c r="A14" s="19" t="s">
        <v>26</v>
      </c>
      <c r="B14" s="20">
        <f>'2B'!B15+'2C'!B15+'2D'!B15</f>
        <v>7610</v>
      </c>
      <c r="C14" s="20">
        <f>'2B'!C15+'2C'!C15+'2D'!C15</f>
        <v>7610000</v>
      </c>
      <c r="D14" s="20">
        <f t="shared" si="0"/>
        <v>1270000</v>
      </c>
      <c r="E14" s="20">
        <f>'2D'!C15</f>
        <v>6340000</v>
      </c>
      <c r="F14" s="21" t="s">
        <v>27</v>
      </c>
      <c r="G14" s="169"/>
    </row>
    <row r="15" spans="1:7" ht="30" x14ac:dyDescent="0.25">
      <c r="A15" s="19" t="s">
        <v>28</v>
      </c>
      <c r="B15" s="20">
        <f>'2B'!B16+'2C'!B16+'2D'!B17</f>
        <v>151800</v>
      </c>
      <c r="C15" s="20">
        <f>'2D'!C17</f>
        <v>235000000</v>
      </c>
      <c r="D15" s="20">
        <f t="shared" si="0"/>
        <v>0</v>
      </c>
      <c r="E15" s="20">
        <v>235000000</v>
      </c>
      <c r="F15" s="22" t="s">
        <v>29</v>
      </c>
      <c r="G15" s="169"/>
    </row>
    <row r="16" spans="1:7" ht="15.75" x14ac:dyDescent="0.25">
      <c r="A16" s="19" t="s">
        <v>30</v>
      </c>
      <c r="B16" s="23">
        <v>0</v>
      </c>
      <c r="C16" s="23">
        <v>0</v>
      </c>
      <c r="D16" s="20">
        <f t="shared" si="0"/>
        <v>0</v>
      </c>
      <c r="E16" s="20">
        <v>0</v>
      </c>
      <c r="F16" s="21" t="s">
        <v>31</v>
      </c>
      <c r="G16" s="169"/>
    </row>
    <row r="17" spans="1:8" ht="15.75" x14ac:dyDescent="0.25">
      <c r="A17" s="24" t="s">
        <v>32</v>
      </c>
      <c r="B17" s="26">
        <f>SUM(B11:B16)</f>
        <v>920751.81299999997</v>
      </c>
      <c r="C17" s="26">
        <f>SUM(C11:C16)</f>
        <v>1153395333</v>
      </c>
      <c r="D17" s="27">
        <f t="shared" si="0"/>
        <v>899504056</v>
      </c>
      <c r="E17" s="26">
        <f>SUM(E11:E16)</f>
        <v>253891277</v>
      </c>
      <c r="G17" s="169"/>
    </row>
    <row r="18" spans="1:8" ht="15.75" x14ac:dyDescent="0.25">
      <c r="A18" s="19" t="s">
        <v>33</v>
      </c>
      <c r="B18" s="29">
        <f>'2D'!B20</f>
        <v>26447.957899999998</v>
      </c>
      <c r="C18" s="29">
        <f>'2D'!C20</f>
        <v>21770798.640000001</v>
      </c>
      <c r="D18" s="20">
        <f t="shared" si="0"/>
        <v>21770798.640000001</v>
      </c>
      <c r="E18" s="29"/>
      <c r="F18" s="21" t="s">
        <v>34</v>
      </c>
      <c r="G18" s="169"/>
    </row>
    <row r="19" spans="1:8" ht="15.75" x14ac:dyDescent="0.25">
      <c r="A19" s="19" t="s">
        <v>35</v>
      </c>
      <c r="B19" s="23" t="s">
        <v>36</v>
      </c>
      <c r="C19" s="23" t="s">
        <v>36</v>
      </c>
      <c r="D19" s="30"/>
      <c r="E19" s="20"/>
      <c r="G19" s="169"/>
    </row>
    <row r="20" spans="1:8" ht="15.75" x14ac:dyDescent="0.25">
      <c r="A20" s="31" t="s">
        <v>37</v>
      </c>
      <c r="B20" s="28">
        <f>B17+B18</f>
        <v>947199.7709</v>
      </c>
      <c r="C20" s="28">
        <f>C17+C18</f>
        <v>1175166131.6400001</v>
      </c>
      <c r="D20" s="28">
        <f>SUM(C20-E20)</f>
        <v>921274854.6400001</v>
      </c>
      <c r="E20" s="28">
        <f>SUM(E17+E18)</f>
        <v>253891277</v>
      </c>
      <c r="G20" s="169"/>
    </row>
    <row r="21" spans="1:8" ht="15.75" x14ac:dyDescent="0.25">
      <c r="A21" s="32"/>
      <c r="B21" s="30"/>
      <c r="C21" s="30"/>
      <c r="D21" s="30"/>
      <c r="E21" s="30"/>
    </row>
    <row r="22" spans="1:8" ht="15.75" x14ac:dyDescent="0.25">
      <c r="A22" s="19" t="s">
        <v>38</v>
      </c>
      <c r="B22" s="20">
        <f>'2B'!B22+'2C'!B22+'2D'!B24</f>
        <v>233922</v>
      </c>
      <c r="C22" s="20">
        <f>'2B'!C22+'2C'!C22+'2D'!C24</f>
        <v>286920736</v>
      </c>
      <c r="D22" s="20">
        <f t="shared" ref="D22:D29" si="1">C22-E22</f>
        <v>286831415</v>
      </c>
      <c r="E22" s="20">
        <f>'2D'!C24-10000000-1047</f>
        <v>89321</v>
      </c>
      <c r="F22" s="21" t="s">
        <v>39</v>
      </c>
      <c r="H22" s="169"/>
    </row>
    <row r="23" spans="1:8" ht="15.75" x14ac:dyDescent="0.25">
      <c r="A23" s="19" t="s">
        <v>40</v>
      </c>
      <c r="B23" s="20">
        <v>0</v>
      </c>
      <c r="C23" s="20">
        <v>0</v>
      </c>
      <c r="D23" s="20">
        <f t="shared" si="1"/>
        <v>0</v>
      </c>
      <c r="E23" s="20">
        <v>0</v>
      </c>
      <c r="F23" s="21"/>
    </row>
    <row r="24" spans="1:8" ht="45" x14ac:dyDescent="0.25">
      <c r="A24" s="19" t="s">
        <v>41</v>
      </c>
      <c r="B24" s="20">
        <f>'2B'!B23+'2C'!B23+'2D'!B26</f>
        <v>150000</v>
      </c>
      <c r="C24" s="20">
        <v>235000000</v>
      </c>
      <c r="D24" s="20">
        <f t="shared" si="1"/>
        <v>0</v>
      </c>
      <c r="E24" s="20">
        <f>'2D'!C26</f>
        <v>235000000</v>
      </c>
      <c r="F24" s="22" t="s">
        <v>42</v>
      </c>
    </row>
    <row r="25" spans="1:8" ht="15.75" x14ac:dyDescent="0.25">
      <c r="A25" s="19" t="s">
        <v>43</v>
      </c>
      <c r="B25" s="20">
        <v>0</v>
      </c>
      <c r="C25" s="20">
        <v>0</v>
      </c>
      <c r="D25" s="20">
        <f t="shared" si="1"/>
        <v>0</v>
      </c>
      <c r="E25" s="20">
        <v>0</v>
      </c>
      <c r="F25" s="21"/>
    </row>
    <row r="26" spans="1:8" ht="15.75" x14ac:dyDescent="0.25">
      <c r="A26" s="19" t="s">
        <v>44</v>
      </c>
      <c r="B26" s="20">
        <f>'2B'!B25+'2C'!B25+'2D'!B28</f>
        <v>523403.69299999997</v>
      </c>
      <c r="C26" s="20">
        <f>'2B'!C25+'2C'!C25+'2D'!C28</f>
        <v>604245396</v>
      </c>
      <c r="D26" s="20">
        <f t="shared" si="1"/>
        <v>595443440</v>
      </c>
      <c r="E26" s="20">
        <f>18892324-10100230+9862</f>
        <v>8801956</v>
      </c>
      <c r="F26" s="21" t="s">
        <v>45</v>
      </c>
    </row>
    <row r="27" spans="1:8" ht="15.75" x14ac:dyDescent="0.25">
      <c r="A27" s="19" t="s">
        <v>46</v>
      </c>
      <c r="B27" s="20">
        <f>'2D'!B29+'2C'!B26+'2B'!B26</f>
        <v>327207.09999999998</v>
      </c>
      <c r="C27" s="20">
        <f>'2D'!C29</f>
        <v>325301770</v>
      </c>
      <c r="D27" s="20">
        <f t="shared" si="1"/>
        <v>325301770</v>
      </c>
      <c r="E27" s="20">
        <v>0</v>
      </c>
      <c r="F27" s="21"/>
    </row>
    <row r="28" spans="1:8" ht="15.75" x14ac:dyDescent="0.25">
      <c r="A28" s="19" t="s">
        <v>47</v>
      </c>
      <c r="B28" s="23">
        <v>0</v>
      </c>
      <c r="C28" s="23">
        <v>0</v>
      </c>
      <c r="D28" s="20">
        <f t="shared" si="1"/>
        <v>0</v>
      </c>
      <c r="E28" s="23">
        <v>0</v>
      </c>
      <c r="F28" s="21" t="s">
        <v>48</v>
      </c>
    </row>
    <row r="29" spans="1:8" ht="15.75" x14ac:dyDescent="0.25">
      <c r="A29" s="24" t="s">
        <v>49</v>
      </c>
      <c r="B29" s="26">
        <f>B26+B22+B24</f>
        <v>907325.69299999997</v>
      </c>
      <c r="C29" s="26">
        <f>C26+C22+C24</f>
        <v>1126166132</v>
      </c>
      <c r="D29" s="33">
        <f t="shared" si="1"/>
        <v>882274855</v>
      </c>
      <c r="E29" s="150">
        <f>E26+E22+E24</f>
        <v>243891277</v>
      </c>
    </row>
    <row r="30" spans="1:8" ht="15.75" x14ac:dyDescent="0.25">
      <c r="A30" s="19" t="s">
        <v>210</v>
      </c>
      <c r="B30" s="23">
        <f>'2B'!B30+'2C'!B30+'2D'!B33</f>
        <v>39874.078000000001</v>
      </c>
      <c r="C30" s="23">
        <f>'2B'!C30+'2C'!C30+'2D'!C33</f>
        <v>49000000</v>
      </c>
      <c r="D30" s="142">
        <v>39000000</v>
      </c>
      <c r="E30" s="142">
        <v>10000000</v>
      </c>
    </row>
    <row r="31" spans="1:8" ht="15.75" x14ac:dyDescent="0.25">
      <c r="A31" s="19" t="s">
        <v>51</v>
      </c>
      <c r="B31" s="20" t="s">
        <v>36</v>
      </c>
      <c r="C31" s="20" t="s">
        <v>36</v>
      </c>
      <c r="D31" s="30"/>
      <c r="E31" s="30"/>
    </row>
    <row r="32" spans="1:8" ht="15.75" x14ac:dyDescent="0.25">
      <c r="A32" s="34" t="s">
        <v>52</v>
      </c>
      <c r="B32" s="29">
        <f>B29+B30</f>
        <v>947199.77099999995</v>
      </c>
      <c r="C32" s="29">
        <f>C29+C30</f>
        <v>1175166132</v>
      </c>
      <c r="D32" s="28">
        <f>C32-E32</f>
        <v>921274855</v>
      </c>
      <c r="E32" s="35">
        <f>E29+E30</f>
        <v>253891277</v>
      </c>
      <c r="G32" s="169"/>
    </row>
    <row r="33" spans="1:5" ht="15.75" x14ac:dyDescent="0.25">
      <c r="A33" s="36"/>
      <c r="B33" s="37"/>
      <c r="C33" s="37"/>
      <c r="D33" s="37"/>
      <c r="E33" s="37"/>
    </row>
    <row r="35" spans="1:5" x14ac:dyDescent="0.25">
      <c r="A35" s="1" t="s">
        <v>237</v>
      </c>
    </row>
    <row r="36" spans="1:5" x14ac:dyDescent="0.25">
      <c r="B36" s="2" t="s">
        <v>271</v>
      </c>
    </row>
    <row r="37" spans="1:5" x14ac:dyDescent="0.25">
      <c r="A37" s="182"/>
      <c r="B37" s="182"/>
      <c r="C37" s="182"/>
      <c r="D37"/>
      <c r="E37"/>
    </row>
    <row r="38" spans="1:5" ht="30" x14ac:dyDescent="0.25">
      <c r="B38" s="177" t="s">
        <v>246</v>
      </c>
      <c r="C38" s="178" t="s">
        <v>159</v>
      </c>
      <c r="E38" s="1" t="s">
        <v>164</v>
      </c>
    </row>
    <row r="39" spans="1:5" ht="30" x14ac:dyDescent="0.25">
      <c r="B39" s="177" t="s">
        <v>160</v>
      </c>
      <c r="C39" s="178" t="s">
        <v>161</v>
      </c>
    </row>
    <row r="40" spans="1:5" ht="30" x14ac:dyDescent="0.25">
      <c r="B40" s="177" t="s">
        <v>162</v>
      </c>
      <c r="C40" s="178" t="s">
        <v>163</v>
      </c>
    </row>
    <row r="41" spans="1:5" x14ac:dyDescent="0.25">
      <c r="B41" s="177" t="s">
        <v>167</v>
      </c>
      <c r="C41" s="178" t="s">
        <v>166</v>
      </c>
    </row>
    <row r="42" spans="1:5" x14ac:dyDescent="0.25">
      <c r="B42" s="177" t="s">
        <v>160</v>
      </c>
      <c r="C42" s="178" t="s">
        <v>168</v>
      </c>
      <c r="E42" s="1" t="s">
        <v>164</v>
      </c>
    </row>
  </sheetData>
  <mergeCells count="7">
    <mergeCell ref="A37:C37"/>
    <mergeCell ref="B1:C1"/>
    <mergeCell ref="A3:C3"/>
    <mergeCell ref="A4:C4"/>
    <mergeCell ref="A5:C5"/>
    <mergeCell ref="A6:C6"/>
    <mergeCell ref="A8:C8"/>
  </mergeCells>
  <pageMargins left="0.70826771653543308" right="0.70826771653543308" top="1.1417322834645671" bottom="1.1417322834645671" header="0.74803149606299213" footer="0.74803149606299213"/>
  <pageSetup paperSize="9" scale="95" fitToWidth="0" fitToHeight="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2"/>
  <sheetViews>
    <sheetView topLeftCell="A41" zoomScaleNormal="100" workbookViewId="0">
      <selection activeCell="H27" sqref="H27"/>
    </sheetView>
  </sheetViews>
  <sheetFormatPr defaultRowHeight="15" x14ac:dyDescent="0.25"/>
  <cols>
    <col min="1" max="1" width="48" style="1" customWidth="1"/>
    <col min="2" max="2" width="14.875" style="1" customWidth="1"/>
    <col min="3" max="4" width="16.875" style="1" customWidth="1"/>
    <col min="5" max="1025" width="8.75" style="1" customWidth="1"/>
    <col min="1026" max="1026" width="9" customWidth="1"/>
  </cols>
  <sheetData>
    <row r="1" spans="1:5" x14ac:dyDescent="0.25">
      <c r="B1" s="179" t="s">
        <v>53</v>
      </c>
      <c r="C1" s="179"/>
      <c r="D1" s="133"/>
    </row>
    <row r="2" spans="1:5" x14ac:dyDescent="0.25">
      <c r="B2" s="2"/>
    </row>
    <row r="3" spans="1:5" x14ac:dyDescent="0.25">
      <c r="A3" s="179" t="s">
        <v>1</v>
      </c>
      <c r="B3" s="179"/>
      <c r="C3" s="179"/>
      <c r="D3" s="133"/>
    </row>
    <row r="4" spans="1:5" x14ac:dyDescent="0.25">
      <c r="A4" s="179" t="s">
        <v>238</v>
      </c>
      <c r="B4" s="179"/>
      <c r="C4" s="179"/>
      <c r="D4" s="133"/>
    </row>
    <row r="5" spans="1:5" ht="15.75" x14ac:dyDescent="0.25">
      <c r="A5" s="183" t="s">
        <v>13</v>
      </c>
      <c r="B5" s="183"/>
      <c r="C5" s="183"/>
      <c r="D5" s="135"/>
    </row>
    <row r="6" spans="1:5" ht="15.75" x14ac:dyDescent="0.25">
      <c r="A6" s="183" t="s">
        <v>239</v>
      </c>
      <c r="B6" s="183"/>
      <c r="C6" s="183"/>
      <c r="D6" s="135"/>
    </row>
    <row r="8" spans="1:5" ht="15.75" x14ac:dyDescent="0.25">
      <c r="B8" s="12"/>
      <c r="C8" s="12" t="s">
        <v>54</v>
      </c>
      <c r="D8" s="135"/>
    </row>
    <row r="9" spans="1:5" x14ac:dyDescent="0.25">
      <c r="A9" s="38" t="s">
        <v>55</v>
      </c>
      <c r="B9" s="38"/>
      <c r="C9" s="39"/>
      <c r="D9" s="39"/>
    </row>
    <row r="10" spans="1:5" ht="15.75" x14ac:dyDescent="0.25">
      <c r="A10" s="14" t="s">
        <v>6</v>
      </c>
      <c r="B10" s="40" t="s">
        <v>18</v>
      </c>
      <c r="C10" s="40" t="s">
        <v>18</v>
      </c>
      <c r="D10" s="40" t="s">
        <v>207</v>
      </c>
      <c r="E10" s="15" t="s">
        <v>19</v>
      </c>
    </row>
    <row r="11" spans="1:5" ht="47.25" x14ac:dyDescent="0.25">
      <c r="A11" s="16"/>
      <c r="B11" s="41" t="s">
        <v>230</v>
      </c>
      <c r="C11" s="41" t="s">
        <v>231</v>
      </c>
      <c r="D11" s="41" t="s">
        <v>232</v>
      </c>
      <c r="E11" s="18" t="s">
        <v>165</v>
      </c>
    </row>
    <row r="12" spans="1:5" ht="15.75" x14ac:dyDescent="0.25">
      <c r="A12" s="19" t="s">
        <v>20</v>
      </c>
      <c r="B12" s="23">
        <f>[1]KESZI!$E$24/1000</f>
        <v>317527.5</v>
      </c>
      <c r="C12" s="23">
        <f>'[2]KESZI 2016.12.12.'!$G$24</f>
        <v>406705000</v>
      </c>
      <c r="D12" s="156">
        <f>C12/1000/B12</f>
        <v>1.2808496901843147</v>
      </c>
      <c r="E12" s="21" t="s">
        <v>21</v>
      </c>
    </row>
    <row r="13" spans="1:5" ht="15.75" x14ac:dyDescent="0.25">
      <c r="A13" s="19" t="s">
        <v>22</v>
      </c>
      <c r="B13" s="23">
        <f>[1]KESZI!$E$25/1000</f>
        <v>86295</v>
      </c>
      <c r="C13" s="23">
        <f>'[2]KESZI 2016.12.12.'!$G$25</f>
        <v>98000400</v>
      </c>
      <c r="D13" s="156">
        <f>C13/1000/B13</f>
        <v>1.13564401181992</v>
      </c>
      <c r="E13" s="21" t="s">
        <v>23</v>
      </c>
    </row>
    <row r="14" spans="1:5" ht="15.75" x14ac:dyDescent="0.25">
      <c r="A14" s="19" t="s">
        <v>24</v>
      </c>
      <c r="B14" s="23">
        <f>[1]KESZI!$E$64/1000</f>
        <v>190900</v>
      </c>
      <c r="C14" s="23">
        <f>'[2]KESZI 2016.12.12.'!$G$64</f>
        <v>193270000</v>
      </c>
      <c r="D14" s="156">
        <f>C14/1000/B14</f>
        <v>1.0124148768988999</v>
      </c>
      <c r="E14" s="21" t="s">
        <v>25</v>
      </c>
    </row>
    <row r="15" spans="1:5" ht="15.75" x14ac:dyDescent="0.25">
      <c r="A15" s="19" t="s">
        <v>26</v>
      </c>
      <c r="B15" s="23">
        <f>[1]KESZI!$E$65/1000</f>
        <v>850</v>
      </c>
      <c r="C15" s="23">
        <f>'[2]KESZI 2016.12.12.'!$G$65</f>
        <v>850000</v>
      </c>
      <c r="D15" s="156">
        <f>C15/1000/B15</f>
        <v>1</v>
      </c>
      <c r="E15" s="21" t="s">
        <v>27</v>
      </c>
    </row>
    <row r="16" spans="1:5" ht="30" x14ac:dyDescent="0.25">
      <c r="A16" s="19" t="s">
        <v>28</v>
      </c>
      <c r="B16" s="23">
        <v>0</v>
      </c>
      <c r="C16" s="23">
        <v>0</v>
      </c>
      <c r="D16" s="23">
        <f t="shared" ref="D16:D17" si="0">C16-B16</f>
        <v>0</v>
      </c>
      <c r="E16" s="22" t="s">
        <v>29</v>
      </c>
    </row>
    <row r="17" spans="1:5" ht="15.75" x14ac:dyDescent="0.25">
      <c r="A17" s="19" t="s">
        <v>30</v>
      </c>
      <c r="B17" s="23">
        <v>0</v>
      </c>
      <c r="C17" s="23">
        <v>0</v>
      </c>
      <c r="D17" s="23">
        <f t="shared" si="0"/>
        <v>0</v>
      </c>
      <c r="E17" s="21" t="s">
        <v>31</v>
      </c>
    </row>
    <row r="18" spans="1:5" ht="15.75" x14ac:dyDescent="0.25">
      <c r="A18" s="24" t="s">
        <v>32</v>
      </c>
      <c r="B18" s="25">
        <f>SUM(B12:B17)</f>
        <v>595572.5</v>
      </c>
      <c r="C18" s="25">
        <f>SUM(C12:C17)</f>
        <v>698825400</v>
      </c>
      <c r="D18" s="157">
        <f>C18/1000/B18</f>
        <v>1.1733674741530209</v>
      </c>
    </row>
    <row r="19" spans="1:5" ht="15.75" x14ac:dyDescent="0.25">
      <c r="A19" s="19" t="s">
        <v>35</v>
      </c>
      <c r="B19" s="20" t="s">
        <v>36</v>
      </c>
      <c r="C19" s="20" t="s">
        <v>36</v>
      </c>
      <c r="D19" s="140"/>
    </row>
    <row r="20" spans="1:5" ht="15.75" x14ac:dyDescent="0.25">
      <c r="A20" s="31" t="s">
        <v>37</v>
      </c>
      <c r="B20" s="28">
        <f>SUM(B18)</f>
        <v>595572.5</v>
      </c>
      <c r="C20" s="28">
        <f>SUM(C18)</f>
        <v>698825400</v>
      </c>
      <c r="D20" s="157">
        <f>C20/1000/B20</f>
        <v>1.1733674741530209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38</v>
      </c>
      <c r="B22" s="23">
        <f>[1]KESZI!$D$97/1000+[1]KESZI!$D$95/1000</f>
        <v>220931</v>
      </c>
      <c r="C22" s="23">
        <f>'[2]KESZI 2016.12.12.'!$G$87+'[2]KESZI 2016.12.12.'!$G$88+'[2]KESZI 2016.12.12.'!$G$89+'[2]KESZI 2016.12.12.'!$G$90+'[2]KESZI 2016.12.12.'!$G$91+'[2]KESZI 2016.12.12.'!$G$92+'[2]KESZI 2016.12.12.'!$G$93+'[2]KESZI 2016.12.12.'!$G$95</f>
        <v>273830368</v>
      </c>
      <c r="D22" s="156">
        <f>C22/1000/B22</f>
        <v>1.2394384128981448</v>
      </c>
      <c r="E22" s="21" t="s">
        <v>39</v>
      </c>
    </row>
    <row r="23" spans="1:5" ht="45" x14ac:dyDescent="0.25">
      <c r="A23" s="19" t="s">
        <v>41</v>
      </c>
      <c r="B23" s="23">
        <v>0</v>
      </c>
      <c r="C23" s="23">
        <v>0</v>
      </c>
      <c r="D23" s="23">
        <f t="shared" ref="D23:D28" si="1">C23-B23</f>
        <v>0</v>
      </c>
      <c r="E23" s="22" t="s">
        <v>42</v>
      </c>
    </row>
    <row r="24" spans="1:5" ht="15.75" x14ac:dyDescent="0.25">
      <c r="A24" s="19" t="s">
        <v>43</v>
      </c>
      <c r="B24" s="23">
        <v>0</v>
      </c>
      <c r="C24" s="23">
        <v>0</v>
      </c>
      <c r="D24" s="23">
        <f t="shared" si="1"/>
        <v>0</v>
      </c>
      <c r="E24" s="21"/>
    </row>
    <row r="25" spans="1:5" ht="15.75" x14ac:dyDescent="0.25">
      <c r="A25" s="19" t="s">
        <v>44</v>
      </c>
      <c r="B25" s="23">
        <f>[1]KESZI!$D$96/1000+[1]KESZI!$D$98/1000</f>
        <v>17000</v>
      </c>
      <c r="C25" s="23">
        <v>0</v>
      </c>
      <c r="D25" s="156">
        <f>C25/1000/B25</f>
        <v>0</v>
      </c>
      <c r="E25" s="21" t="s">
        <v>56</v>
      </c>
    </row>
    <row r="26" spans="1:5" ht="15.75" x14ac:dyDescent="0.25">
      <c r="A26" s="19" t="s">
        <v>46</v>
      </c>
      <c r="B26" s="23">
        <v>10091</v>
      </c>
      <c r="C26" s="23">
        <v>0</v>
      </c>
      <c r="D26" s="23">
        <v>0</v>
      </c>
      <c r="E26" s="21"/>
    </row>
    <row r="27" spans="1:5" ht="15.75" x14ac:dyDescent="0.25">
      <c r="A27" s="19" t="s">
        <v>57</v>
      </c>
      <c r="B27" s="23">
        <f>[1]KESZI!$D$102/1000+[1]KESZI!$D$92/1000</f>
        <v>338722.69699999999</v>
      </c>
      <c r="C27" s="23">
        <f>'[2]KESZI 2016.12.12.'!$G$122</f>
        <v>388995032</v>
      </c>
      <c r="D27" s="156">
        <f>C27/1000/B27</f>
        <v>1.1484173793054087</v>
      </c>
      <c r="E27" s="21" t="s">
        <v>45</v>
      </c>
    </row>
    <row r="28" spans="1:5" ht="15.75" x14ac:dyDescent="0.25">
      <c r="A28" s="19" t="s">
        <v>47</v>
      </c>
      <c r="B28" s="23">
        <v>0</v>
      </c>
      <c r="C28" s="23">
        <v>0</v>
      </c>
      <c r="D28" s="141">
        <f t="shared" si="1"/>
        <v>0</v>
      </c>
      <c r="E28" s="21" t="s">
        <v>48</v>
      </c>
    </row>
    <row r="29" spans="1:5" ht="15.75" x14ac:dyDescent="0.25">
      <c r="A29" s="24" t="s">
        <v>49</v>
      </c>
      <c r="B29" s="26">
        <f>SUM(B28+B27+B25+B23+B22)</f>
        <v>576653.69699999993</v>
      </c>
      <c r="C29" s="26">
        <f>SUM(C28+C27+C25+C23+C22)</f>
        <v>662825400</v>
      </c>
      <c r="D29" s="171">
        <f>C29/1000/B29</f>
        <v>1.1494340597282255</v>
      </c>
    </row>
    <row r="30" spans="1:5" ht="15.75" x14ac:dyDescent="0.25">
      <c r="A30" s="19" t="s">
        <v>210</v>
      </c>
      <c r="B30" s="23">
        <f>[1]KESZI!$D$99/1000</f>
        <v>18918.803</v>
      </c>
      <c r="C30" s="23">
        <f>'[2]KESZI 2016.12.12.'!$G$117</f>
        <v>36000000</v>
      </c>
      <c r="D30" s="158">
        <f>C30/1000/B30</f>
        <v>1.9028688020061311</v>
      </c>
    </row>
    <row r="31" spans="1:5" ht="15.75" x14ac:dyDescent="0.25">
      <c r="A31" s="19" t="s">
        <v>51</v>
      </c>
      <c r="B31" s="23" t="s">
        <v>36</v>
      </c>
      <c r="C31" s="23" t="s">
        <v>36</v>
      </c>
      <c r="D31" s="142"/>
    </row>
    <row r="32" spans="1:5" ht="15.75" x14ac:dyDescent="0.25">
      <c r="A32" s="34" t="s">
        <v>52</v>
      </c>
      <c r="B32" s="29">
        <f>B29+B30</f>
        <v>595572.49999999988</v>
      </c>
      <c r="C32" s="29">
        <f>C29+C30</f>
        <v>698825400</v>
      </c>
      <c r="D32" s="172">
        <f>C32/1000/B32</f>
        <v>1.1733674741530211</v>
      </c>
    </row>
    <row r="35" spans="1:1025" ht="30" x14ac:dyDescent="0.25">
      <c r="A35" s="102" t="s">
        <v>233</v>
      </c>
      <c r="B35" s="2" t="s">
        <v>58</v>
      </c>
    </row>
    <row r="36" spans="1:1025" ht="30" x14ac:dyDescent="0.25">
      <c r="B36" s="2" t="s">
        <v>203</v>
      </c>
      <c r="C36" s="2" t="s">
        <v>234</v>
      </c>
      <c r="D36" s="49" t="s">
        <v>206</v>
      </c>
    </row>
    <row r="37" spans="1:1025" x14ac:dyDescent="0.25">
      <c r="A37" s="43" t="s">
        <v>59</v>
      </c>
      <c r="B37" s="99">
        <f>[1]KESZI!$D$82</f>
        <v>25576320</v>
      </c>
      <c r="C37" s="99">
        <f>'[2]KESZI 2016.12.12.'!$G$101</f>
        <v>24967360</v>
      </c>
      <c r="D37" s="99">
        <f>C37-B37</f>
        <v>-608960</v>
      </c>
    </row>
    <row r="38" spans="1:1025" x14ac:dyDescent="0.25">
      <c r="A38" s="43" t="s">
        <v>60</v>
      </c>
      <c r="B38" s="99">
        <f>[1]KESZI!$D$83</f>
        <v>35815000</v>
      </c>
      <c r="C38" s="99">
        <f>'[2]KESZI 2016.12.12.'!$G$102</f>
        <v>41769000</v>
      </c>
      <c r="D38" s="99">
        <f t="shared" ref="D38:D48" si="2">C38-B38</f>
        <v>5954000</v>
      </c>
    </row>
    <row r="39" spans="1:1025" x14ac:dyDescent="0.25">
      <c r="A39" s="43" t="s">
        <v>61</v>
      </c>
      <c r="B39" s="99">
        <f>[1]KESZI!$D$84</f>
        <v>6376500</v>
      </c>
      <c r="C39" s="99">
        <f>'[2]KESZI 2016.12.12.'!$G$105</f>
        <v>7357500</v>
      </c>
      <c r="D39" s="99">
        <f t="shared" si="2"/>
        <v>981000</v>
      </c>
    </row>
    <row r="40" spans="1:1025" x14ac:dyDescent="0.25">
      <c r="A40" s="44" t="s">
        <v>63</v>
      </c>
      <c r="B40" s="99">
        <f>[1]KESZI!$D$85+[1]KESZI!$D$86+[1]KESZI!$D$87</f>
        <v>24090000</v>
      </c>
      <c r="C40" s="99">
        <f>'[2]KESZI 2016.12.12.'!$G$106+'[2]KESZI 2016.12.12.'!$G$107+'[2]KESZI 2016.12.12.'!$G$108</f>
        <v>21340000</v>
      </c>
      <c r="D40" s="99">
        <f t="shared" si="2"/>
        <v>-2750000</v>
      </c>
    </row>
    <row r="41" spans="1:1025" x14ac:dyDescent="0.25">
      <c r="A41" s="43" t="s">
        <v>64</v>
      </c>
      <c r="B41" s="99">
        <f>[1]KESZI!$D$88</f>
        <v>8903520</v>
      </c>
      <c r="C41" s="99">
        <f>'[2]KESZI 2016.12.12.'!$G$109</f>
        <v>8903520</v>
      </c>
      <c r="D41" s="99">
        <f t="shared" si="2"/>
        <v>0</v>
      </c>
    </row>
    <row r="42" spans="1:1025" x14ac:dyDescent="0.25">
      <c r="A42" s="43" t="s">
        <v>65</v>
      </c>
      <c r="B42" s="99">
        <f>[1]KESZI!$D$89</f>
        <v>20607400</v>
      </c>
      <c r="C42" s="99">
        <f>'[2]KESZI 2016.12.12.'!$G$110</f>
        <v>19577030</v>
      </c>
      <c r="D42" s="99">
        <f t="shared" si="2"/>
        <v>-1030370</v>
      </c>
    </row>
    <row r="43" spans="1:1025" x14ac:dyDescent="0.25">
      <c r="A43" s="43" t="s">
        <v>66</v>
      </c>
      <c r="B43" s="99">
        <f>[1]KESZI!$D$90</f>
        <v>82898132</v>
      </c>
      <c r="C43" s="99">
        <f>'[2]KESZI 2016.12.12.'!$G$111</f>
        <v>82888885</v>
      </c>
      <c r="D43" s="99">
        <f t="shared" si="2"/>
        <v>-9247</v>
      </c>
    </row>
    <row r="44" spans="1:1025" x14ac:dyDescent="0.25">
      <c r="A44" s="44" t="s">
        <v>67</v>
      </c>
      <c r="B44" s="99">
        <f>[1]KESZI!$D$91</f>
        <v>19795000</v>
      </c>
      <c r="C44" s="99">
        <f>'[2]KESZI 2016.12.12.'!$G$112</f>
        <v>33582000</v>
      </c>
      <c r="D44" s="99">
        <f t="shared" si="2"/>
        <v>13787000</v>
      </c>
    </row>
    <row r="45" spans="1:1025" x14ac:dyDescent="0.25">
      <c r="A45" s="21" t="s">
        <v>68</v>
      </c>
      <c r="B45" s="98">
        <f>[1]KESZI!$D$105</f>
        <v>93047238</v>
      </c>
      <c r="C45" s="98">
        <f>[2]Társulás!$E$55</f>
        <v>78493074</v>
      </c>
      <c r="D45" s="99">
        <f t="shared" si="2"/>
        <v>-14554164</v>
      </c>
    </row>
    <row r="46" spans="1:1025" x14ac:dyDescent="0.25">
      <c r="A46" s="100" t="s">
        <v>69</v>
      </c>
      <c r="B46" s="101">
        <v>13005120</v>
      </c>
      <c r="C46" s="101">
        <f>'[2]KESZI 2016.12.12.'!$G$113</f>
        <v>17450784</v>
      </c>
      <c r="D46" s="99">
        <f t="shared" si="2"/>
        <v>4445664</v>
      </c>
    </row>
    <row r="47" spans="1:1025" s="96" customFormat="1" x14ac:dyDescent="0.25">
      <c r="A47" s="97" t="s">
        <v>235</v>
      </c>
      <c r="B47" s="98">
        <v>0</v>
      </c>
      <c r="C47" s="98">
        <f>'[2]KESZI 2016.12.12.'!$G$118</f>
        <v>42317678</v>
      </c>
      <c r="D47" s="99">
        <f t="shared" si="2"/>
        <v>42317678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s="154" customFormat="1" x14ac:dyDescent="0.25">
      <c r="A48" s="97" t="s">
        <v>236</v>
      </c>
      <c r="B48" s="98">
        <v>8608467</v>
      </c>
      <c r="C48" s="98">
        <f>388995032-378646831</f>
        <v>10348201</v>
      </c>
      <c r="D48" s="99">
        <f t="shared" si="2"/>
        <v>1739734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pans="1:1025" s="134" customFormat="1" x14ac:dyDescent="0.25">
      <c r="A49" s="97" t="s">
        <v>205</v>
      </c>
      <c r="B49" s="139">
        <v>0</v>
      </c>
      <c r="C49" s="139"/>
      <c r="D49" s="139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pans="1:1025" x14ac:dyDescent="0.25">
      <c r="B50" s="45">
        <f>SUM(B37:B49)</f>
        <v>338722697</v>
      </c>
      <c r="C50" s="45">
        <f>SUM(C37:C49)</f>
        <v>388995032</v>
      </c>
      <c r="D50" s="45">
        <f>SUM(D37:D49)</f>
        <v>50272335</v>
      </c>
    </row>
    <row r="52" spans="1:1025" x14ac:dyDescent="0.25">
      <c r="A52" s="1" t="s">
        <v>237</v>
      </c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scale="76" fitToWidth="0" fitToHeight="0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"/>
  <sheetViews>
    <sheetView topLeftCell="A37" workbookViewId="0">
      <selection activeCell="A30" sqref="A30"/>
    </sheetView>
  </sheetViews>
  <sheetFormatPr defaultRowHeight="15" x14ac:dyDescent="0.25"/>
  <cols>
    <col min="1" max="1" width="53.625" style="1" customWidth="1"/>
    <col min="2" max="2" width="13.875" style="1" customWidth="1"/>
    <col min="3" max="4" width="15" style="1" customWidth="1"/>
    <col min="5" max="1025" width="8.75" style="1" customWidth="1"/>
    <col min="1026" max="1026" width="9" customWidth="1"/>
  </cols>
  <sheetData>
    <row r="1" spans="1:5" x14ac:dyDescent="0.25">
      <c r="B1" s="179" t="s">
        <v>70</v>
      </c>
      <c r="C1" s="179"/>
      <c r="D1" s="136"/>
    </row>
    <row r="2" spans="1:5" x14ac:dyDescent="0.25">
      <c r="B2" s="2"/>
    </row>
    <row r="3" spans="1:5" x14ac:dyDescent="0.25">
      <c r="A3" s="179" t="s">
        <v>1</v>
      </c>
      <c r="B3" s="179"/>
      <c r="C3" s="179"/>
      <c r="D3" s="136"/>
    </row>
    <row r="4" spans="1:5" x14ac:dyDescent="0.25">
      <c r="A4" s="179" t="s">
        <v>238</v>
      </c>
      <c r="B4" s="179"/>
      <c r="C4" s="179"/>
      <c r="D4" s="136"/>
    </row>
    <row r="5" spans="1:5" ht="15.75" x14ac:dyDescent="0.25">
      <c r="A5" s="183" t="s">
        <v>13</v>
      </c>
      <c r="B5" s="183"/>
      <c r="C5" s="183"/>
      <c r="D5" s="138"/>
    </row>
    <row r="6" spans="1:5" ht="15.75" x14ac:dyDescent="0.25">
      <c r="A6" s="183" t="s">
        <v>240</v>
      </c>
      <c r="B6" s="183"/>
      <c r="C6" s="183"/>
      <c r="D6" s="138"/>
    </row>
    <row r="8" spans="1:5" ht="15.75" x14ac:dyDescent="0.25">
      <c r="B8" s="12"/>
      <c r="C8" s="12" t="s">
        <v>54</v>
      </c>
      <c r="D8" s="138"/>
    </row>
    <row r="9" spans="1:5" ht="15.75" customHeight="1" x14ac:dyDescent="0.25">
      <c r="A9" s="184" t="s">
        <v>226</v>
      </c>
      <c r="B9" s="184"/>
      <c r="C9" s="184"/>
      <c r="D9" s="144"/>
    </row>
    <row r="10" spans="1:5" ht="15.75" x14ac:dyDescent="0.25">
      <c r="A10" s="14" t="s">
        <v>6</v>
      </c>
      <c r="B10" s="40" t="s">
        <v>18</v>
      </c>
      <c r="C10" s="40" t="s">
        <v>18</v>
      </c>
      <c r="D10" s="40" t="s">
        <v>207</v>
      </c>
      <c r="E10" s="15" t="s">
        <v>19</v>
      </c>
    </row>
    <row r="11" spans="1:5" ht="63" x14ac:dyDescent="0.25">
      <c r="A11" s="16"/>
      <c r="B11" s="41" t="s">
        <v>230</v>
      </c>
      <c r="C11" s="41" t="s">
        <v>231</v>
      </c>
      <c r="D11" s="41" t="s">
        <v>232</v>
      </c>
      <c r="E11" s="18" t="s">
        <v>165</v>
      </c>
    </row>
    <row r="12" spans="1:5" ht="15.75" x14ac:dyDescent="0.25">
      <c r="A12" s="19" t="s">
        <v>20</v>
      </c>
      <c r="B12" s="20">
        <f>[1]KGYCSSZK!$E$24/1000</f>
        <v>100941.31299999999</v>
      </c>
      <c r="C12" s="20">
        <f>'[2]CSGYK 2016.11.23'!$G$24</f>
        <v>141381508</v>
      </c>
      <c r="D12" s="159">
        <f>C12/1000/B12</f>
        <v>1.4006307605687673</v>
      </c>
      <c r="E12" s="21" t="s">
        <v>21</v>
      </c>
    </row>
    <row r="13" spans="1:5" ht="15.75" x14ac:dyDescent="0.25">
      <c r="A13" s="19" t="s">
        <v>22</v>
      </c>
      <c r="B13" s="20">
        <f>[1]KGYCSSZK!$E$25/1000</f>
        <v>26962</v>
      </c>
      <c r="C13" s="20">
        <f>'[2]CSGYK 2016.11.23'!$G$25</f>
        <v>32227057</v>
      </c>
      <c r="D13" s="159">
        <f>C13/1000/B13</f>
        <v>1.195276945330465</v>
      </c>
      <c r="E13" s="21" t="s">
        <v>23</v>
      </c>
    </row>
    <row r="14" spans="1:5" ht="15.75" x14ac:dyDescent="0.25">
      <c r="A14" s="19" t="s">
        <v>24</v>
      </c>
      <c r="B14" s="20">
        <f>[1]KGYCSSZK!$E$64/1000</f>
        <v>26150</v>
      </c>
      <c r="C14" s="20">
        <f>'[2]CSGYK 2016.11.23'!$G$64</f>
        <v>26640000</v>
      </c>
      <c r="D14" s="159">
        <f>C14/1000/B14</f>
        <v>1.018738049713193</v>
      </c>
      <c r="E14" s="21" t="s">
        <v>25</v>
      </c>
    </row>
    <row r="15" spans="1:5" ht="15.75" x14ac:dyDescent="0.25">
      <c r="A15" s="19" t="s">
        <v>26</v>
      </c>
      <c r="B15" s="20">
        <f>[1]KGYCSSZK!$E$65/1000</f>
        <v>420</v>
      </c>
      <c r="C15" s="20">
        <f>'[2]CSGYK 2016.11.23'!$G$65</f>
        <v>420000</v>
      </c>
      <c r="D15" s="159">
        <f>C15/1000/B15</f>
        <v>1</v>
      </c>
      <c r="E15" s="21" t="s">
        <v>27</v>
      </c>
    </row>
    <row r="16" spans="1:5" ht="30" x14ac:dyDescent="0.25">
      <c r="A16" s="19" t="s">
        <v>28</v>
      </c>
      <c r="B16" s="20">
        <v>0</v>
      </c>
      <c r="C16" s="20">
        <v>0</v>
      </c>
      <c r="D16" s="20">
        <f t="shared" ref="D16:D17" si="0">C16-B16</f>
        <v>0</v>
      </c>
      <c r="E16" s="22" t="s">
        <v>29</v>
      </c>
    </row>
    <row r="17" spans="1:5" ht="15.75" x14ac:dyDescent="0.25">
      <c r="A17" s="19" t="s">
        <v>30</v>
      </c>
      <c r="B17" s="20">
        <v>0</v>
      </c>
      <c r="C17" s="20">
        <v>0</v>
      </c>
      <c r="D17" s="20">
        <f t="shared" si="0"/>
        <v>0</v>
      </c>
      <c r="E17" s="21" t="s">
        <v>31</v>
      </c>
    </row>
    <row r="18" spans="1:5" ht="15.75" x14ac:dyDescent="0.25">
      <c r="A18" s="24" t="s">
        <v>32</v>
      </c>
      <c r="B18" s="25">
        <f>SUM(B12:B17)</f>
        <v>154473.31299999999</v>
      </c>
      <c r="C18" s="25">
        <f>SUM(C12:C17)</f>
        <v>200668565</v>
      </c>
      <c r="D18" s="157">
        <f>C18/1000/B18</f>
        <v>1.2990500501533233</v>
      </c>
    </row>
    <row r="19" spans="1:5" ht="15.75" x14ac:dyDescent="0.25">
      <c r="A19" s="19" t="s">
        <v>35</v>
      </c>
      <c r="B19" s="20" t="s">
        <v>36</v>
      </c>
      <c r="C19" s="20" t="s">
        <v>36</v>
      </c>
      <c r="D19" s="140"/>
    </row>
    <row r="20" spans="1:5" ht="15.75" x14ac:dyDescent="0.25">
      <c r="A20" s="31" t="s">
        <v>37</v>
      </c>
      <c r="B20" s="28">
        <f>B18</f>
        <v>154473.31299999999</v>
      </c>
      <c r="C20" s="28">
        <f>C18</f>
        <v>200668565</v>
      </c>
      <c r="D20" s="160">
        <f>C20/1000/B20</f>
        <v>1.2990500501533233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38</v>
      </c>
      <c r="B22" s="23">
        <f>[1]KGYCSSZK!$D$92/1000</f>
        <v>2900</v>
      </c>
      <c r="C22" s="23">
        <f>'[2]CSGYK 2016.11.23'!$F$94</f>
        <v>3000000</v>
      </c>
      <c r="D22" s="156">
        <f>C22/1000/B22</f>
        <v>1.0344827586206897</v>
      </c>
      <c r="E22" s="21" t="s">
        <v>39</v>
      </c>
    </row>
    <row r="23" spans="1:5" ht="45" x14ac:dyDescent="0.25">
      <c r="A23" s="19" t="s">
        <v>41</v>
      </c>
      <c r="B23" s="20">
        <v>0</v>
      </c>
      <c r="C23" s="20">
        <v>0</v>
      </c>
      <c r="D23" s="23">
        <f t="shared" ref="D23:D28" si="1">C23-B23</f>
        <v>0</v>
      </c>
      <c r="E23" s="22" t="s">
        <v>42</v>
      </c>
    </row>
    <row r="24" spans="1:5" ht="15.75" x14ac:dyDescent="0.25">
      <c r="A24" s="19" t="s">
        <v>43</v>
      </c>
      <c r="B24" s="20">
        <v>0</v>
      </c>
      <c r="C24" s="20">
        <v>0</v>
      </c>
      <c r="D24" s="23">
        <f t="shared" si="1"/>
        <v>0</v>
      </c>
      <c r="E24" s="21"/>
    </row>
    <row r="25" spans="1:5" ht="15.75" x14ac:dyDescent="0.25">
      <c r="A25" s="19" t="s">
        <v>44</v>
      </c>
      <c r="B25" s="20">
        <f>[1]KGYCSSZK!$D$93/1000</f>
        <v>700</v>
      </c>
      <c r="C25" s="20">
        <v>0</v>
      </c>
      <c r="D25" s="23">
        <v>0</v>
      </c>
      <c r="E25" s="21" t="s">
        <v>56</v>
      </c>
    </row>
    <row r="26" spans="1:5" ht="15.75" x14ac:dyDescent="0.25">
      <c r="A26" s="19" t="s">
        <v>46</v>
      </c>
      <c r="B26" s="20">
        <v>0</v>
      </c>
      <c r="C26" s="20">
        <v>0</v>
      </c>
      <c r="D26" s="23">
        <f t="shared" si="1"/>
        <v>0</v>
      </c>
      <c r="E26" s="21"/>
    </row>
    <row r="27" spans="1:5" ht="15.75" x14ac:dyDescent="0.25">
      <c r="A27" s="19" t="s">
        <v>71</v>
      </c>
      <c r="B27" s="20">
        <f>[1]KGYCSSZK!$D$89/1000+[1]KGYCSSZK!$D$98/1000</f>
        <v>146645.02900000001</v>
      </c>
      <c r="C27" s="20">
        <f>'[2]CSGYK 2016.11.23'!$F$101</f>
        <v>194668565</v>
      </c>
      <c r="D27" s="156">
        <f>C27/1000/B27</f>
        <v>1.3274815131987869</v>
      </c>
      <c r="E27" s="21" t="s">
        <v>45</v>
      </c>
    </row>
    <row r="28" spans="1:5" ht="15.75" x14ac:dyDescent="0.25">
      <c r="A28" s="19" t="s">
        <v>47</v>
      </c>
      <c r="B28" s="20">
        <v>0</v>
      </c>
      <c r="C28" s="20">
        <v>0</v>
      </c>
      <c r="D28" s="23">
        <f t="shared" si="1"/>
        <v>0</v>
      </c>
      <c r="E28" s="21" t="s">
        <v>48</v>
      </c>
    </row>
    <row r="29" spans="1:5" ht="15.75" x14ac:dyDescent="0.25">
      <c r="A29" s="24" t="s">
        <v>49</v>
      </c>
      <c r="B29" s="25">
        <f>SUM(B28,B27,B25,B22)</f>
        <v>150245.02900000001</v>
      </c>
      <c r="C29" s="25">
        <f>SUM(C28,C27,C25,C22)</f>
        <v>197668565</v>
      </c>
      <c r="D29" s="157">
        <f>C29/1000/B29</f>
        <v>1.3156412981889736</v>
      </c>
    </row>
    <row r="30" spans="1:5" ht="15.75" x14ac:dyDescent="0.25">
      <c r="A30" s="19" t="s">
        <v>209</v>
      </c>
      <c r="B30" s="20">
        <f>[1]KGYCSSZK!$D$94/1000</f>
        <v>4228.2839999999997</v>
      </c>
      <c r="C30" s="20">
        <f>'[2]CSGYK 2016.11.23'!$F$102</f>
        <v>3000000</v>
      </c>
      <c r="D30" s="161">
        <f>C30/1000/B30</f>
        <v>0.70950768680627896</v>
      </c>
    </row>
    <row r="31" spans="1:5" ht="15.75" x14ac:dyDescent="0.25">
      <c r="A31" s="19" t="s">
        <v>51</v>
      </c>
      <c r="B31" s="20" t="s">
        <v>36</v>
      </c>
      <c r="C31" s="20" t="s">
        <v>36</v>
      </c>
      <c r="D31" s="140"/>
    </row>
    <row r="32" spans="1:5" ht="15.75" x14ac:dyDescent="0.25">
      <c r="A32" s="34" t="s">
        <v>52</v>
      </c>
      <c r="B32" s="28">
        <f>SUM(B29+B30)</f>
        <v>154473.31300000002</v>
      </c>
      <c r="C32" s="28">
        <f>SUM(C29+C30)</f>
        <v>200668565</v>
      </c>
      <c r="D32" s="160">
        <f>C32/1000/B32</f>
        <v>1.2990500501533231</v>
      </c>
    </row>
    <row r="34" spans="1:1025" ht="30" x14ac:dyDescent="0.25">
      <c r="A34" s="102" t="s">
        <v>241</v>
      </c>
      <c r="B34" s="2" t="s">
        <v>58</v>
      </c>
    </row>
    <row r="35" spans="1:1025" s="96" customFormat="1" ht="30" x14ac:dyDescent="0.25">
      <c r="A35" s="102"/>
      <c r="B35" s="2" t="s">
        <v>208</v>
      </c>
      <c r="C35" s="2" t="s">
        <v>242</v>
      </c>
      <c r="D35" s="49" t="s">
        <v>206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25">
      <c r="A36" s="46" t="s">
        <v>72</v>
      </c>
      <c r="B36" s="187">
        <v>79200000</v>
      </c>
      <c r="C36" s="187">
        <v>79200000</v>
      </c>
      <c r="D36" s="185">
        <f>C36-B36</f>
        <v>0</v>
      </c>
    </row>
    <row r="37" spans="1:1025" x14ac:dyDescent="0.25">
      <c r="A37" s="46" t="s">
        <v>73</v>
      </c>
      <c r="B37" s="188"/>
      <c r="C37" s="188"/>
      <c r="D37" s="186"/>
    </row>
    <row r="38" spans="1:1025" s="134" customFormat="1" x14ac:dyDescent="0.25">
      <c r="A38" s="46" t="s">
        <v>211</v>
      </c>
      <c r="B38" s="163">
        <v>13854228</v>
      </c>
      <c r="C38" s="163">
        <f>'[2]CSGYK 2016.11.23'!$F$86</f>
        <v>5716475</v>
      </c>
      <c r="D38" s="162">
        <f t="shared" ref="D38" si="2">C38-B38</f>
        <v>-8137753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x14ac:dyDescent="0.25">
      <c r="A39" s="21" t="s">
        <v>68</v>
      </c>
      <c r="B39" s="99">
        <f>[1]KGYCSSZK!$D$100</f>
        <v>49444585</v>
      </c>
      <c r="C39" s="99">
        <f>'[2]CSGYK 2016.11.23'!$F$106</f>
        <v>78217295</v>
      </c>
      <c r="D39" s="162">
        <f>C39-B39</f>
        <v>28772710</v>
      </c>
    </row>
    <row r="40" spans="1:1025" x14ac:dyDescent="0.25">
      <c r="A40" s="100" t="s">
        <v>243</v>
      </c>
      <c r="B40" s="164">
        <f>[1]KGYCSSZK!$D$99</f>
        <v>4146216</v>
      </c>
      <c r="C40" s="164">
        <f>'[2]CSGYK 2016.11.23'!$F$105</f>
        <v>7732500</v>
      </c>
      <c r="D40" s="162">
        <f t="shared" ref="D40" si="3">C40-B40</f>
        <v>3586284</v>
      </c>
    </row>
    <row r="41" spans="1:1025" s="154" customFormat="1" x14ac:dyDescent="0.25">
      <c r="A41" s="97" t="s">
        <v>235</v>
      </c>
      <c r="B41" s="99">
        <v>0</v>
      </c>
      <c r="C41" s="99">
        <f>'[2]CSGYK 2016.11.23'!$F$104</f>
        <v>23802295</v>
      </c>
      <c r="D41" s="162">
        <f>C41-B41</f>
        <v>23802295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pans="1:1025" x14ac:dyDescent="0.25">
      <c r="A42" s="1" t="s">
        <v>74</v>
      </c>
      <c r="B42" s="45">
        <f>SUM(B36:B40)</f>
        <v>146645029</v>
      </c>
      <c r="C42" s="45">
        <f>SUM(C36:C41)</f>
        <v>194668565</v>
      </c>
      <c r="D42" s="45">
        <f>C42-B42</f>
        <v>48023536</v>
      </c>
    </row>
    <row r="44" spans="1:1025" x14ac:dyDescent="0.25">
      <c r="A44" s="1" t="s">
        <v>237</v>
      </c>
    </row>
  </sheetData>
  <mergeCells count="9">
    <mergeCell ref="D36:D37"/>
    <mergeCell ref="C36:C37"/>
    <mergeCell ref="A9:C9"/>
    <mergeCell ref="B1:C1"/>
    <mergeCell ref="A3:C3"/>
    <mergeCell ref="A4:C4"/>
    <mergeCell ref="A5:C5"/>
    <mergeCell ref="A6:C6"/>
    <mergeCell ref="B36:B37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1"/>
  <sheetViews>
    <sheetView topLeftCell="A25" workbookViewId="0">
      <selection activeCell="H34" sqref="H34"/>
    </sheetView>
  </sheetViews>
  <sheetFormatPr defaultRowHeight="15" x14ac:dyDescent="0.25"/>
  <cols>
    <col min="1" max="1" width="59.125" style="1" customWidth="1"/>
    <col min="2" max="2" width="14" style="1" customWidth="1"/>
    <col min="3" max="4" width="15.125" style="1" customWidth="1"/>
    <col min="5" max="1025" width="8.75" style="1" customWidth="1"/>
    <col min="1026" max="1026" width="9" customWidth="1"/>
  </cols>
  <sheetData>
    <row r="1" spans="1:6" x14ac:dyDescent="0.25">
      <c r="B1" s="179" t="s">
        <v>75</v>
      </c>
      <c r="C1" s="179"/>
      <c r="D1" s="153"/>
    </row>
    <row r="2" spans="1:6" x14ac:dyDescent="0.25">
      <c r="B2" s="2"/>
    </row>
    <row r="3" spans="1:6" x14ac:dyDescent="0.25">
      <c r="A3" s="179" t="s">
        <v>1</v>
      </c>
      <c r="B3" s="179"/>
      <c r="C3" s="179"/>
      <c r="D3" s="153"/>
    </row>
    <row r="4" spans="1:6" x14ac:dyDescent="0.25">
      <c r="A4" s="179" t="s">
        <v>238</v>
      </c>
      <c r="B4" s="179"/>
      <c r="C4" s="179"/>
      <c r="D4" s="153"/>
    </row>
    <row r="5" spans="1:6" ht="15.75" x14ac:dyDescent="0.25">
      <c r="A5" s="183" t="s">
        <v>13</v>
      </c>
      <c r="B5" s="183"/>
      <c r="C5" s="183"/>
      <c r="D5" s="155"/>
    </row>
    <row r="6" spans="1:6" ht="15.75" x14ac:dyDescent="0.25">
      <c r="A6" s="183" t="s">
        <v>240</v>
      </c>
      <c r="B6" s="183"/>
      <c r="C6" s="183"/>
      <c r="D6" s="155"/>
    </row>
    <row r="8" spans="1:6" ht="31.5" x14ac:dyDescent="0.25">
      <c r="B8" s="12"/>
      <c r="C8" s="47" t="s">
        <v>76</v>
      </c>
      <c r="D8" s="47"/>
    </row>
    <row r="9" spans="1:6" ht="15.75" customHeight="1" x14ac:dyDescent="0.25">
      <c r="A9" s="184" t="s">
        <v>8</v>
      </c>
      <c r="B9" s="184"/>
      <c r="C9" s="184"/>
      <c r="D9" s="144"/>
    </row>
    <row r="10" spans="1:6" ht="15.75" x14ac:dyDescent="0.25">
      <c r="A10" s="14" t="s">
        <v>6</v>
      </c>
      <c r="B10" s="40" t="s">
        <v>18</v>
      </c>
      <c r="C10" s="40" t="s">
        <v>18</v>
      </c>
      <c r="D10" s="40" t="s">
        <v>207</v>
      </c>
      <c r="E10" s="15" t="s">
        <v>19</v>
      </c>
    </row>
    <row r="11" spans="1:6" ht="63" x14ac:dyDescent="0.25">
      <c r="A11" s="16"/>
      <c r="B11" s="41" t="s">
        <v>230</v>
      </c>
      <c r="C11" s="41" t="s">
        <v>231</v>
      </c>
      <c r="D11" s="41" t="s">
        <v>232</v>
      </c>
      <c r="E11" s="18" t="s">
        <v>165</v>
      </c>
    </row>
    <row r="12" spans="1:6" ht="15.75" x14ac:dyDescent="0.25">
      <c r="A12" s="19" t="s">
        <v>20</v>
      </c>
      <c r="B12" s="23">
        <f>[1]Társulás!$E$8/1000</f>
        <v>500</v>
      </c>
      <c r="C12" s="23">
        <f>[2]Társulás!$E$9</f>
        <v>500000</v>
      </c>
      <c r="D12" s="156">
        <f t="shared" ref="D12:D17" si="0">C12/1000/B12</f>
        <v>1</v>
      </c>
      <c r="E12" s="21" t="s">
        <v>21</v>
      </c>
      <c r="F12" s="1" t="s">
        <v>77</v>
      </c>
    </row>
    <row r="13" spans="1:6" ht="15.75" x14ac:dyDescent="0.25">
      <c r="A13" s="19" t="s">
        <v>22</v>
      </c>
      <c r="B13" s="23">
        <f>[1]Társulás!$E$12/1000</f>
        <v>256</v>
      </c>
      <c r="C13" s="23">
        <f>[2]Társulás!$E$13</f>
        <v>249000</v>
      </c>
      <c r="D13" s="156">
        <f t="shared" si="0"/>
        <v>0.97265625</v>
      </c>
      <c r="E13" s="21" t="s">
        <v>23</v>
      </c>
      <c r="F13" s="1" t="s">
        <v>77</v>
      </c>
    </row>
    <row r="14" spans="1:6" ht="15.75" x14ac:dyDescent="0.25">
      <c r="A14" s="19" t="s">
        <v>24</v>
      </c>
      <c r="B14" s="23">
        <f>[1]Társulás!$E$20/1000</f>
        <v>11810</v>
      </c>
      <c r="C14" s="23">
        <f>[2]Társulás!$E$21</f>
        <v>11812368</v>
      </c>
      <c r="D14" s="156">
        <f t="shared" si="0"/>
        <v>1.0002005080440306</v>
      </c>
      <c r="E14" s="21" t="s">
        <v>25</v>
      </c>
      <c r="F14" s="1" t="s">
        <v>77</v>
      </c>
    </row>
    <row r="15" spans="1:6" ht="15.75" x14ac:dyDescent="0.25">
      <c r="A15" s="19" t="s">
        <v>26</v>
      </c>
      <c r="B15" s="23">
        <f>[1]Társulás!$E$25/1000</f>
        <v>6340</v>
      </c>
      <c r="C15" s="23">
        <f>[2]Társulás!$E$26</f>
        <v>6340000</v>
      </c>
      <c r="D15" s="156">
        <f t="shared" si="0"/>
        <v>1</v>
      </c>
      <c r="E15" s="21" t="s">
        <v>169</v>
      </c>
    </row>
    <row r="16" spans="1:6" ht="15.75" x14ac:dyDescent="0.25">
      <c r="A16" s="19" t="s">
        <v>78</v>
      </c>
      <c r="B16" s="23">
        <v>485368</v>
      </c>
      <c r="C16" s="23">
        <f>[2]Társulás!$E$38</f>
        <v>583663597</v>
      </c>
      <c r="D16" s="156">
        <f t="shared" si="0"/>
        <v>1.2025176711278864</v>
      </c>
      <c r="E16" s="22" t="s">
        <v>79</v>
      </c>
    </row>
    <row r="17" spans="1:5" ht="30" x14ac:dyDescent="0.25">
      <c r="A17" s="19" t="s">
        <v>28</v>
      </c>
      <c r="B17" s="23">
        <f>[1]Társulás!$E$36/1000+150000</f>
        <v>151800</v>
      </c>
      <c r="C17" s="23">
        <f>[2]Társulás!$E$36</f>
        <v>235000000</v>
      </c>
      <c r="D17" s="156">
        <f t="shared" si="0"/>
        <v>1.5480895915678525</v>
      </c>
      <c r="E17" s="22" t="s">
        <v>29</v>
      </c>
    </row>
    <row r="18" spans="1:5" ht="15.75" x14ac:dyDescent="0.25">
      <c r="A18" s="19" t="s">
        <v>30</v>
      </c>
      <c r="B18" s="23">
        <v>0</v>
      </c>
      <c r="C18" s="23">
        <v>0</v>
      </c>
      <c r="D18" s="23"/>
      <c r="E18" s="21" t="s">
        <v>31</v>
      </c>
    </row>
    <row r="19" spans="1:5" ht="15.75" x14ac:dyDescent="0.25">
      <c r="A19" s="24" t="s">
        <v>32</v>
      </c>
      <c r="B19" s="25">
        <f>SUM(B12:B18)</f>
        <v>656074</v>
      </c>
      <c r="C19" s="25">
        <f>SUM(C12:C18)</f>
        <v>837564965</v>
      </c>
      <c r="D19" s="166">
        <f>C19/1000/B19</f>
        <v>1.2766318509802248</v>
      </c>
    </row>
    <row r="20" spans="1:5" ht="15.75" x14ac:dyDescent="0.25">
      <c r="A20" s="19" t="s">
        <v>33</v>
      </c>
      <c r="B20" s="23">
        <f>[1]Társulás!$E$26/1000</f>
        <v>26447.957899999998</v>
      </c>
      <c r="C20" s="23">
        <f>[2]Társulás!$E$27</f>
        <v>21770798.640000001</v>
      </c>
      <c r="D20" s="156">
        <f>C20/1000/B20</f>
        <v>0.82315612881401334</v>
      </c>
      <c r="E20" s="21" t="s">
        <v>170</v>
      </c>
    </row>
    <row r="21" spans="1:5" ht="15.75" x14ac:dyDescent="0.25">
      <c r="A21" s="19" t="s">
        <v>35</v>
      </c>
      <c r="B21" s="20" t="s">
        <v>36</v>
      </c>
      <c r="C21" s="20" t="s">
        <v>36</v>
      </c>
      <c r="D21" s="140"/>
    </row>
    <row r="22" spans="1:5" ht="15.75" x14ac:dyDescent="0.25">
      <c r="A22" s="31" t="s">
        <v>37</v>
      </c>
      <c r="B22" s="29">
        <f>SUM(B19+B20)</f>
        <v>682521.95790000004</v>
      </c>
      <c r="C22" s="29">
        <f>SUM(C19+C20)</f>
        <v>859335763.63999999</v>
      </c>
      <c r="D22" s="167">
        <f>C22/1000/B22</f>
        <v>1.2590595125818735</v>
      </c>
    </row>
    <row r="23" spans="1:5" ht="15.75" x14ac:dyDescent="0.25">
      <c r="A23" s="32"/>
      <c r="B23" s="30"/>
      <c r="C23" s="30"/>
      <c r="D23" s="30"/>
      <c r="E23" s="48"/>
    </row>
    <row r="24" spans="1:5" ht="15.75" x14ac:dyDescent="0.25">
      <c r="A24" s="19" t="s">
        <v>38</v>
      </c>
      <c r="B24" s="23">
        <f>[1]Társulás!$E$71/1000</f>
        <v>10091</v>
      </c>
      <c r="C24" s="23">
        <f>[2]Társulás!$E$72</f>
        <v>10090368</v>
      </c>
      <c r="D24" s="156">
        <f>C24/1000/B24</f>
        <v>0.99993736993360427</v>
      </c>
      <c r="E24" s="21" t="s">
        <v>39</v>
      </c>
    </row>
    <row r="25" spans="1:5" ht="15.75" x14ac:dyDescent="0.25">
      <c r="A25" s="19" t="s">
        <v>40</v>
      </c>
      <c r="B25" s="23">
        <v>0</v>
      </c>
      <c r="C25" s="23">
        <v>0</v>
      </c>
      <c r="D25" s="23"/>
      <c r="E25" s="21"/>
    </row>
    <row r="26" spans="1:5" ht="45" x14ac:dyDescent="0.25">
      <c r="A26" s="170" t="s">
        <v>264</v>
      </c>
      <c r="B26" s="23">
        <v>150000</v>
      </c>
      <c r="C26" s="23">
        <f>[2]Társulás!$E$70</f>
        <v>235000000</v>
      </c>
      <c r="D26" s="156">
        <f>C26/1000/B26</f>
        <v>1.5666666666666667</v>
      </c>
      <c r="E26" s="22" t="s">
        <v>42</v>
      </c>
    </row>
    <row r="27" spans="1:5" ht="15.75" x14ac:dyDescent="0.25">
      <c r="A27" s="19" t="s">
        <v>43</v>
      </c>
      <c r="B27" s="23">
        <v>0</v>
      </c>
      <c r="C27" s="23">
        <v>0</v>
      </c>
      <c r="D27" s="23"/>
      <c r="E27" s="21"/>
    </row>
    <row r="28" spans="1:5" ht="15.75" x14ac:dyDescent="0.25">
      <c r="A28" s="19" t="s">
        <v>44</v>
      </c>
      <c r="B28" s="23">
        <f>[1]Társulás!$E$52/1000+[1]Társulás!$E$53/1000+[1]Társulás!$E$56/1000+[1]Társulás!$E$63/1000</f>
        <v>505703.69299999997</v>
      </c>
      <c r="C28" s="23">
        <f>[2]Társulás!$E$52+[2]Társulás!$E$63+[2]Társulás!$E$53+[2]Társulás!$E$56</f>
        <v>604245396</v>
      </c>
      <c r="D28" s="156">
        <f>C28/1000/B28</f>
        <v>1.1948605564167789</v>
      </c>
      <c r="E28" s="21" t="s">
        <v>171</v>
      </c>
    </row>
    <row r="29" spans="1:5" ht="15.75" x14ac:dyDescent="0.25">
      <c r="A29" s="19" t="s">
        <v>46</v>
      </c>
      <c r="B29" s="23">
        <f>[1]Társulás!$E$52/1000</f>
        <v>317116.09999999998</v>
      </c>
      <c r="C29" s="23">
        <f>'[2]CSGYK 2016.11.23'!$F$88+'[2]KESZI 2016.12.12.'!$G$101+'[2]KESZI 2016.12.12.'!$G$102+'[2]KESZI 2016.12.12.'!$G$105+'[2]KESZI 2016.12.12.'!$G$106+'[2]KESZI 2016.12.12.'!$G$107+'[2]KESZI 2016.12.12.'!$G$108+'[2]KESZI 2016.12.12.'!$G$109+'[2]KESZI 2016.12.12.'!$G$110+'[2]KESZI 2016.12.12.'!$G$111+'[2]KESZI 2016.12.12.'!$G$112</f>
        <v>325301770</v>
      </c>
      <c r="D29" s="156">
        <f>C29/1000/B29</f>
        <v>1.0258128489849618</v>
      </c>
      <c r="E29" s="21"/>
    </row>
    <row r="30" spans="1:5" ht="15.75" x14ac:dyDescent="0.25">
      <c r="A30" s="19" t="s">
        <v>71</v>
      </c>
      <c r="B30" s="23">
        <v>0</v>
      </c>
      <c r="C30" s="23">
        <v>0</v>
      </c>
      <c r="D30" s="23"/>
      <c r="E30" s="21"/>
    </row>
    <row r="31" spans="1:5" ht="15.75" x14ac:dyDescent="0.25">
      <c r="A31" s="19" t="s">
        <v>47</v>
      </c>
      <c r="B31" s="23">
        <v>0</v>
      </c>
      <c r="C31" s="23">
        <v>0</v>
      </c>
      <c r="D31" s="23"/>
      <c r="E31" s="21" t="s">
        <v>48</v>
      </c>
    </row>
    <row r="32" spans="1:5" ht="15.75" x14ac:dyDescent="0.25">
      <c r="A32" s="24" t="s">
        <v>49</v>
      </c>
      <c r="B32" s="25">
        <f>SUM(B24+B25+B26+B28+B30+B31)</f>
        <v>665794.69299999997</v>
      </c>
      <c r="C32" s="25">
        <f>SUM(C24+C25+C26+C28+C30+C31)</f>
        <v>849335764</v>
      </c>
      <c r="D32" s="165"/>
    </row>
    <row r="33" spans="1:4" ht="15.75" x14ac:dyDescent="0.25">
      <c r="A33" s="19" t="s">
        <v>209</v>
      </c>
      <c r="B33" s="20">
        <f>[1]Társulás!$E$72/1000</f>
        <v>16726.991000000002</v>
      </c>
      <c r="C33" s="20">
        <f>[2]Társulás!$E$73</f>
        <v>10000000</v>
      </c>
      <c r="D33" s="161">
        <f>C33/1000/B33</f>
        <v>0.59783615594699602</v>
      </c>
    </row>
    <row r="34" spans="1:4" ht="15.75" x14ac:dyDescent="0.25">
      <c r="A34" s="19" t="s">
        <v>51</v>
      </c>
      <c r="B34" s="20" t="s">
        <v>36</v>
      </c>
      <c r="C34" s="20" t="s">
        <v>36</v>
      </c>
      <c r="D34" s="140"/>
    </row>
    <row r="35" spans="1:4" ht="15.75" x14ac:dyDescent="0.25">
      <c r="A35" s="34" t="s">
        <v>52</v>
      </c>
      <c r="B35" s="28">
        <f>B32+B33</f>
        <v>682521.68400000001</v>
      </c>
      <c r="C35" s="28">
        <f>C32+C33</f>
        <v>859335764</v>
      </c>
      <c r="D35" s="167">
        <f>C35/1000/B35</f>
        <v>1.2590600183773795</v>
      </c>
    </row>
    <row r="37" spans="1:4" x14ac:dyDescent="0.25">
      <c r="A37"/>
    </row>
    <row r="38" spans="1:4" x14ac:dyDescent="0.25">
      <c r="A38"/>
    </row>
    <row r="39" spans="1:4" x14ac:dyDescent="0.25">
      <c r="A39"/>
    </row>
    <row r="41" spans="1:4" x14ac:dyDescent="0.25">
      <c r="A41" s="1" t="s">
        <v>237</v>
      </c>
    </row>
  </sheetData>
  <mergeCells count="6"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40" workbookViewId="0">
      <selection activeCell="I19" sqref="I19"/>
    </sheetView>
  </sheetViews>
  <sheetFormatPr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024" width="9.375" style="1" customWidth="1"/>
    <col min="1025" max="1025" width="9" customWidth="1"/>
  </cols>
  <sheetData>
    <row r="1" spans="1:1024" x14ac:dyDescent="0.25">
      <c r="B1" s="182"/>
      <c r="C1" s="182"/>
      <c r="F1" s="2"/>
      <c r="G1" s="2" t="s">
        <v>98</v>
      </c>
    </row>
    <row r="2" spans="1:1024" x14ac:dyDescent="0.25">
      <c r="A2" s="179" t="s">
        <v>1</v>
      </c>
      <c r="B2" s="179"/>
      <c r="C2" s="179"/>
      <c r="D2" s="179"/>
      <c r="E2" s="179"/>
      <c r="F2" s="179"/>
      <c r="G2" s="179"/>
      <c r="H2" s="179"/>
    </row>
    <row r="3" spans="1:1024" x14ac:dyDescent="0.25">
      <c r="A3" s="179" t="s">
        <v>238</v>
      </c>
      <c r="B3" s="179"/>
      <c r="C3" s="179"/>
      <c r="D3" s="179"/>
      <c r="E3" s="179"/>
      <c r="F3" s="179"/>
      <c r="G3" s="179"/>
      <c r="H3" s="179"/>
    </row>
    <row r="4" spans="1:1024" x14ac:dyDescent="0.25">
      <c r="A4" s="3"/>
      <c r="B4" s="3"/>
      <c r="C4" s="3"/>
      <c r="D4" s="3"/>
      <c r="E4" s="3"/>
      <c r="F4" s="3"/>
      <c r="G4" s="3"/>
      <c r="H4" s="3"/>
    </row>
    <row r="5" spans="1:1024" x14ac:dyDescent="0.25">
      <c r="A5" s="179" t="s">
        <v>99</v>
      </c>
      <c r="B5" s="179"/>
      <c r="C5" s="179"/>
      <c r="D5" s="179"/>
      <c r="E5" s="179"/>
      <c r="F5" s="179"/>
      <c r="G5" s="179"/>
      <c r="H5" s="179"/>
    </row>
    <row r="6" spans="1:1024" x14ac:dyDescent="0.25">
      <c r="A6" s="179" t="s">
        <v>247</v>
      </c>
      <c r="B6" s="179"/>
      <c r="C6" s="179"/>
      <c r="D6" s="179"/>
      <c r="E6" s="179"/>
      <c r="F6" s="179"/>
      <c r="G6" s="179"/>
      <c r="H6" s="179"/>
    </row>
    <row r="7" spans="1:1024" x14ac:dyDescent="0.25">
      <c r="A7" s="179" t="s">
        <v>248</v>
      </c>
      <c r="B7" s="179"/>
      <c r="C7" s="179"/>
      <c r="D7" s="179"/>
      <c r="E7" s="179"/>
      <c r="F7" s="179"/>
      <c r="G7" s="179"/>
      <c r="H7" s="179"/>
    </row>
    <row r="8" spans="1:1024" x14ac:dyDescent="0.25">
      <c r="A8" s="2" t="s">
        <v>249</v>
      </c>
    </row>
    <row r="9" spans="1:1024" x14ac:dyDescent="0.25">
      <c r="A9" s="2"/>
    </row>
    <row r="10" spans="1:1024" ht="30" x14ac:dyDescent="0.25">
      <c r="A10" s="2" t="s">
        <v>83</v>
      </c>
      <c r="B10" s="49" t="s">
        <v>20</v>
      </c>
      <c r="C10" s="2" t="s">
        <v>84</v>
      </c>
      <c r="D10" s="2" t="s">
        <v>85</v>
      </c>
      <c r="E10" s="49" t="s">
        <v>86</v>
      </c>
      <c r="F10" s="2" t="s">
        <v>87</v>
      </c>
      <c r="G10" s="49" t="s">
        <v>88</v>
      </c>
      <c r="H10" s="2" t="s">
        <v>74</v>
      </c>
      <c r="AMJ10"/>
    </row>
    <row r="11" spans="1:1024" ht="30" x14ac:dyDescent="0.25">
      <c r="A11" s="22" t="s">
        <v>10</v>
      </c>
      <c r="B11" s="50">
        <f>'2B'!C12</f>
        <v>406705000</v>
      </c>
      <c r="C11" s="50">
        <f>'2B'!C13</f>
        <v>98000400</v>
      </c>
      <c r="D11" s="50">
        <f>'2B'!C14</f>
        <v>193270000</v>
      </c>
      <c r="E11" s="50">
        <f>'2B'!C15</f>
        <v>850000</v>
      </c>
      <c r="F11" s="50">
        <v>0</v>
      </c>
      <c r="G11" s="50">
        <v>0</v>
      </c>
      <c r="H11" s="50">
        <f>SUM(B11:G11)</f>
        <v>698825400</v>
      </c>
      <c r="AMJ11"/>
    </row>
    <row r="12" spans="1:1024" ht="15.75" x14ac:dyDescent="0.25">
      <c r="A12" s="22" t="s">
        <v>226</v>
      </c>
      <c r="B12" s="50">
        <f>'2C'!C12</f>
        <v>141381508</v>
      </c>
      <c r="C12" s="50">
        <f>'2C'!C13</f>
        <v>32227057</v>
      </c>
      <c r="D12" s="50">
        <f>'2C'!C14</f>
        <v>26640000</v>
      </c>
      <c r="E12" s="50">
        <f>'2C'!C15</f>
        <v>420000</v>
      </c>
      <c r="F12" s="50">
        <v>0</v>
      </c>
      <c r="G12" s="50">
        <v>0</v>
      </c>
      <c r="H12" s="50">
        <f>SUM(B12:G12)</f>
        <v>200668565</v>
      </c>
      <c r="AMJ12"/>
    </row>
    <row r="13" spans="1:1024" ht="15.75" x14ac:dyDescent="0.25">
      <c r="A13" s="22" t="s">
        <v>8</v>
      </c>
      <c r="B13" s="50">
        <f>'2D'!C12</f>
        <v>500000</v>
      </c>
      <c r="C13" s="50">
        <f>'2D'!C13</f>
        <v>249000</v>
      </c>
      <c r="D13" s="50">
        <f>'2D'!C14</f>
        <v>11812368</v>
      </c>
      <c r="E13" s="50">
        <v>0</v>
      </c>
      <c r="F13" s="50">
        <f>'2D'!C20</f>
        <v>21770798.640000001</v>
      </c>
      <c r="G13" s="50">
        <f>'2D'!C15</f>
        <v>6340000</v>
      </c>
      <c r="H13" s="50">
        <f>SUM(B13:G13)</f>
        <v>40672166.640000001</v>
      </c>
      <c r="AMJ13"/>
    </row>
    <row r="14" spans="1:1024" x14ac:dyDescent="0.25">
      <c r="A14" s="51" t="s">
        <v>89</v>
      </c>
      <c r="B14" s="52">
        <f t="shared" ref="B14:H14" si="0">SUM(B11:B13)</f>
        <v>548586508</v>
      </c>
      <c r="C14" s="52">
        <f t="shared" si="0"/>
        <v>130476457</v>
      </c>
      <c r="D14" s="52">
        <f t="shared" si="0"/>
        <v>231722368</v>
      </c>
      <c r="E14" s="52">
        <f t="shared" si="0"/>
        <v>1270000</v>
      </c>
      <c r="F14" s="52">
        <f t="shared" si="0"/>
        <v>21770798.640000001</v>
      </c>
      <c r="G14" s="52">
        <f t="shared" si="0"/>
        <v>6340000</v>
      </c>
      <c r="H14" s="52">
        <f t="shared" si="0"/>
        <v>940166131.63999999</v>
      </c>
      <c r="AMJ14"/>
    </row>
    <row r="15" spans="1:1024" s="1" customFormat="1" ht="15.75" x14ac:dyDescent="0.25">
      <c r="A15" s="49"/>
      <c r="B15" s="58"/>
      <c r="C15" s="58"/>
      <c r="D15" s="58"/>
      <c r="E15" s="58"/>
      <c r="F15" s="58"/>
      <c r="G15" s="58"/>
      <c r="H15" s="59"/>
    </row>
    <row r="16" spans="1:1024" s="1" customFormat="1" x14ac:dyDescent="0.25">
      <c r="A16" s="2" t="s">
        <v>250</v>
      </c>
    </row>
    <row r="17" spans="1:1024" s="1" customFormat="1" x14ac:dyDescent="0.25"/>
    <row r="18" spans="1:1024" ht="30" x14ac:dyDescent="0.25">
      <c r="A18" s="2" t="s">
        <v>83</v>
      </c>
      <c r="B18" s="49" t="s">
        <v>93</v>
      </c>
      <c r="C18" s="49" t="s">
        <v>62</v>
      </c>
      <c r="D18" s="2" t="s">
        <v>94</v>
      </c>
      <c r="E18" s="49" t="s">
        <v>95</v>
      </c>
      <c r="F18" s="49" t="s">
        <v>96</v>
      </c>
      <c r="G18" s="49" t="s">
        <v>210</v>
      </c>
      <c r="H18" s="49" t="s">
        <v>74</v>
      </c>
      <c r="AMJ18"/>
    </row>
    <row r="19" spans="1:1024" ht="30" x14ac:dyDescent="0.25">
      <c r="A19" s="53" t="s">
        <v>10</v>
      </c>
      <c r="B19" s="50">
        <f>'2B'!C22</f>
        <v>273830368</v>
      </c>
      <c r="C19" s="54">
        <f>'[2]KESZI 2016.12.12.'!$G$124</f>
        <v>240385295</v>
      </c>
      <c r="D19" s="54">
        <f>[2]Társulás!$E$55</f>
        <v>78493074</v>
      </c>
      <c r="E19" s="50">
        <f>'[2]KESZI 2016.12.12.'!$G$125+'[2]KESZI 2016.12.12.'!$G$126-7102583</f>
        <v>52665879</v>
      </c>
      <c r="F19" s="54">
        <f>'[2]KESZI 2016.12.12.'!$G$113</f>
        <v>17450784</v>
      </c>
      <c r="G19" s="54">
        <f>'2B'!C30</f>
        <v>36000000</v>
      </c>
      <c r="H19" s="50">
        <f>SUM(B19:G19)</f>
        <v>698825400</v>
      </c>
      <c r="AMJ19"/>
    </row>
    <row r="20" spans="1:1024" ht="15.75" x14ac:dyDescent="0.25">
      <c r="A20" s="22" t="s">
        <v>226</v>
      </c>
      <c r="B20" s="50">
        <f>'2C'!C22</f>
        <v>3000000</v>
      </c>
      <c r="C20" s="54">
        <f>'[2]CSGYK 2016.11.23'!$F$88</f>
        <v>84916475</v>
      </c>
      <c r="D20" s="54">
        <f>[2]Társulás!$E$54</f>
        <v>78217295</v>
      </c>
      <c r="E20" s="54">
        <f>'[2]CSGYK 2016.11.23'!$F$104+'[2]CSGYK 2016.11.23'!$F$105</f>
        <v>31534795</v>
      </c>
      <c r="F20" s="54">
        <v>0</v>
      </c>
      <c r="G20" s="50">
        <f>'2C'!C30</f>
        <v>3000000</v>
      </c>
      <c r="H20" s="50">
        <f>SUM(B20:G20)</f>
        <v>200668565</v>
      </c>
      <c r="AMJ20"/>
    </row>
    <row r="21" spans="1:1024" ht="15.75" x14ac:dyDescent="0.25">
      <c r="A21" s="22" t="s">
        <v>8</v>
      </c>
      <c r="B21" s="50">
        <f>'2D'!C24</f>
        <v>10090368</v>
      </c>
      <c r="C21" s="50">
        <v>0</v>
      </c>
      <c r="D21" s="50">
        <v>0</v>
      </c>
      <c r="E21" s="50">
        <f>40672167-20090368</f>
        <v>20581799</v>
      </c>
      <c r="F21" s="50">
        <v>0</v>
      </c>
      <c r="G21" s="50">
        <f>'2D'!C33</f>
        <v>10000000</v>
      </c>
      <c r="H21" s="50">
        <f>SUM(B21:G21)</f>
        <v>40672167</v>
      </c>
      <c r="AMJ21"/>
    </row>
    <row r="22" spans="1:1024" ht="15.75" x14ac:dyDescent="0.25">
      <c r="A22" s="56" t="s">
        <v>89</v>
      </c>
      <c r="B22" s="57">
        <f t="shared" ref="B22:H22" si="1">SUM(B19:B21)</f>
        <v>286920736</v>
      </c>
      <c r="C22" s="57">
        <f t="shared" si="1"/>
        <v>325301770</v>
      </c>
      <c r="D22" s="57">
        <f t="shared" si="1"/>
        <v>156710369</v>
      </c>
      <c r="E22" s="57">
        <f t="shared" si="1"/>
        <v>104782473</v>
      </c>
      <c r="F22" s="57">
        <f t="shared" si="1"/>
        <v>17450784</v>
      </c>
      <c r="G22" s="57">
        <f t="shared" si="1"/>
        <v>49000000</v>
      </c>
      <c r="H22" s="57">
        <f t="shared" si="1"/>
        <v>940166132</v>
      </c>
      <c r="AMJ22"/>
    </row>
    <row r="23" spans="1:1024" s="104" customFormat="1" ht="15.75" x14ac:dyDescent="0.25">
      <c r="A23" s="49"/>
      <c r="B23" s="103"/>
      <c r="C23" s="103"/>
      <c r="D23" s="103"/>
      <c r="E23" s="103"/>
      <c r="F23" s="103"/>
      <c r="G23" s="103"/>
      <c r="H23" s="103"/>
      <c r="I23" s="10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04" customFormat="1" ht="15.75" x14ac:dyDescent="0.25">
      <c r="A24" s="49" t="s">
        <v>251</v>
      </c>
      <c r="B24" s="103"/>
      <c r="C24" s="103"/>
      <c r="D24" s="103"/>
      <c r="E24" s="103" t="s">
        <v>252</v>
      </c>
      <c r="F24" s="103"/>
      <c r="G24" s="103"/>
      <c r="H24" s="103"/>
      <c r="I24" s="10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04" customFormat="1" ht="45" x14ac:dyDescent="0.25">
      <c r="A25" s="2" t="s">
        <v>83</v>
      </c>
      <c r="B25" s="49" t="s">
        <v>28</v>
      </c>
      <c r="C25" s="2" t="s">
        <v>74</v>
      </c>
      <c r="D25" s="103"/>
      <c r="E25" s="2" t="s">
        <v>83</v>
      </c>
      <c r="F25" s="49" t="s">
        <v>265</v>
      </c>
      <c r="G25" s="49" t="s">
        <v>74</v>
      </c>
      <c r="H25" s="103"/>
      <c r="I25" s="10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04" customFormat="1" ht="30" x14ac:dyDescent="0.25">
      <c r="A26" s="22" t="s">
        <v>10</v>
      </c>
      <c r="B26" s="50">
        <v>0</v>
      </c>
      <c r="C26" s="50">
        <v>0</v>
      </c>
      <c r="D26" s="103"/>
      <c r="E26" s="53" t="s">
        <v>10</v>
      </c>
      <c r="F26" s="50">
        <v>0</v>
      </c>
      <c r="G26" s="50">
        <v>0</v>
      </c>
      <c r="H26" s="103"/>
      <c r="I26" s="10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04" customFormat="1" ht="45" x14ac:dyDescent="0.25">
      <c r="A27" s="22" t="s">
        <v>226</v>
      </c>
      <c r="B27" s="50">
        <v>0</v>
      </c>
      <c r="C27" s="50">
        <v>0</v>
      </c>
      <c r="D27" s="103"/>
      <c r="E27" s="22" t="s">
        <v>226</v>
      </c>
      <c r="F27" s="50">
        <v>0</v>
      </c>
      <c r="G27" s="50">
        <v>0</v>
      </c>
      <c r="H27" s="103"/>
      <c r="I27" s="10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04" customFormat="1" ht="30" x14ac:dyDescent="0.25">
      <c r="A28" s="22" t="s">
        <v>8</v>
      </c>
      <c r="B28" s="50">
        <v>235000000</v>
      </c>
      <c r="C28" s="50">
        <f>B28</f>
        <v>235000000</v>
      </c>
      <c r="D28" s="103"/>
      <c r="E28" s="22" t="s">
        <v>8</v>
      </c>
      <c r="F28" s="50">
        <v>235000000</v>
      </c>
      <c r="G28" s="50">
        <f>F28</f>
        <v>235000000</v>
      </c>
      <c r="H28" s="103"/>
      <c r="I28" s="10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04" customFormat="1" ht="15.75" x14ac:dyDescent="0.25">
      <c r="A29" s="51" t="s">
        <v>89</v>
      </c>
      <c r="B29" s="52">
        <f t="shared" ref="B29:C29" si="2">SUM(B26:B28)</f>
        <v>235000000</v>
      </c>
      <c r="C29" s="52">
        <f t="shared" si="2"/>
        <v>235000000</v>
      </c>
      <c r="D29" s="103"/>
      <c r="E29" s="56" t="s">
        <v>89</v>
      </c>
      <c r="F29" s="57">
        <f t="shared" ref="F29:G29" si="3">SUM(F26:F28)</f>
        <v>235000000</v>
      </c>
      <c r="G29" s="57">
        <f t="shared" si="3"/>
        <v>235000000</v>
      </c>
      <c r="H29" s="103"/>
      <c r="I29" s="10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04" customFormat="1" ht="15.75" x14ac:dyDescent="0.25">
      <c r="A30" s="49"/>
      <c r="B30" s="103"/>
      <c r="C30" s="103"/>
      <c r="D30" s="103"/>
      <c r="E30" s="103"/>
      <c r="F30" s="103"/>
      <c r="G30" s="103"/>
      <c r="H30" s="103"/>
      <c r="I30" s="10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4" spans="1:1" x14ac:dyDescent="0.25">
      <c r="A34" s="1" t="s">
        <v>237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opLeftCell="A10" workbookViewId="0">
      <selection activeCell="H16" sqref="H16"/>
    </sheetView>
  </sheetViews>
  <sheetFormatPr defaultRowHeight="15" x14ac:dyDescent="0.25"/>
  <cols>
    <col min="1" max="1" width="31.5" style="1" customWidth="1"/>
    <col min="2" max="2" width="13.75" style="1" customWidth="1"/>
    <col min="3" max="3" width="14" style="1" customWidth="1"/>
    <col min="4" max="4" width="15.25" style="1" customWidth="1"/>
    <col min="5" max="5" width="11.25" style="1" customWidth="1"/>
    <col min="6" max="6" width="14.625" style="1" customWidth="1"/>
    <col min="7" max="7" width="13.25" style="1" customWidth="1"/>
    <col min="8" max="8" width="15" style="1" customWidth="1"/>
    <col min="9" max="9" width="16.25" style="1" customWidth="1"/>
    <col min="10" max="1024" width="8.75" style="1" customWidth="1"/>
    <col min="1025" max="1025" width="9" customWidth="1"/>
  </cols>
  <sheetData>
    <row r="1" spans="1:9" x14ac:dyDescent="0.25">
      <c r="B1" s="182"/>
      <c r="C1" s="182"/>
      <c r="H1" s="2" t="s">
        <v>80</v>
      </c>
    </row>
    <row r="2" spans="1:9" x14ac:dyDescent="0.25">
      <c r="B2" s="2"/>
    </row>
    <row r="3" spans="1:9" x14ac:dyDescent="0.25">
      <c r="A3" s="179" t="s">
        <v>1</v>
      </c>
      <c r="B3" s="179"/>
      <c r="C3" s="179"/>
      <c r="D3" s="179"/>
      <c r="E3" s="179"/>
      <c r="F3" s="179"/>
      <c r="G3" s="179"/>
      <c r="H3" s="179"/>
      <c r="I3" s="179"/>
    </row>
    <row r="4" spans="1:9" x14ac:dyDescent="0.25">
      <c r="A4" s="179" t="s">
        <v>238</v>
      </c>
      <c r="B4" s="179"/>
      <c r="C4" s="179"/>
      <c r="D4" s="179"/>
      <c r="E4" s="179"/>
      <c r="F4" s="179"/>
      <c r="G4" s="179"/>
      <c r="H4" s="179"/>
      <c r="I4" s="179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179" t="s">
        <v>81</v>
      </c>
      <c r="B6" s="179"/>
      <c r="C6" s="179"/>
      <c r="D6" s="179"/>
      <c r="E6" s="179"/>
      <c r="F6" s="179"/>
      <c r="G6" s="179"/>
      <c r="H6" s="179"/>
      <c r="I6" s="179"/>
    </row>
    <row r="7" spans="1:9" x14ac:dyDescent="0.25">
      <c r="A7" s="179" t="s">
        <v>247</v>
      </c>
      <c r="B7" s="179"/>
      <c r="C7" s="179"/>
      <c r="D7" s="179"/>
      <c r="E7" s="179"/>
      <c r="F7" s="179"/>
      <c r="G7" s="179"/>
      <c r="H7" s="179"/>
      <c r="I7" s="179"/>
    </row>
    <row r="8" spans="1:9" x14ac:dyDescent="0.25">
      <c r="A8" s="179" t="s">
        <v>14</v>
      </c>
      <c r="B8" s="179"/>
      <c r="C8" s="179"/>
      <c r="D8" s="179"/>
      <c r="E8" s="179"/>
      <c r="F8" s="179"/>
      <c r="G8" s="179"/>
      <c r="H8" s="179"/>
      <c r="I8" s="179"/>
    </row>
    <row r="10" spans="1:9" x14ac:dyDescent="0.25">
      <c r="A10" s="2" t="s">
        <v>82</v>
      </c>
    </row>
    <row r="12" spans="1:9" ht="45" x14ac:dyDescent="0.25">
      <c r="A12" s="2" t="s">
        <v>83</v>
      </c>
      <c r="B12" s="49" t="s">
        <v>20</v>
      </c>
      <c r="C12" s="2" t="s">
        <v>84</v>
      </c>
      <c r="D12" s="2" t="s">
        <v>85</v>
      </c>
      <c r="E12" s="49" t="s">
        <v>86</v>
      </c>
      <c r="F12" s="2" t="s">
        <v>87</v>
      </c>
      <c r="G12" s="49" t="s">
        <v>88</v>
      </c>
      <c r="H12" s="49" t="s">
        <v>28</v>
      </c>
      <c r="I12" s="2" t="s">
        <v>74</v>
      </c>
    </row>
    <row r="13" spans="1:9" ht="44.25" customHeight="1" x14ac:dyDescent="0.25">
      <c r="A13" s="22" t="s">
        <v>10</v>
      </c>
      <c r="B13" s="50">
        <f>'2B'!C12</f>
        <v>406705000</v>
      </c>
      <c r="C13" s="50">
        <f>'2B'!C13</f>
        <v>98000400</v>
      </c>
      <c r="D13" s="50">
        <f>'2B'!C14</f>
        <v>193270000</v>
      </c>
      <c r="E13" s="50">
        <f>'2B'!C15</f>
        <v>850000</v>
      </c>
      <c r="F13" s="50">
        <v>0</v>
      </c>
      <c r="G13" s="50">
        <v>0</v>
      </c>
      <c r="H13" s="50">
        <f>'2B'!C16</f>
        <v>0</v>
      </c>
      <c r="I13" s="50">
        <f>SUM(B13:H13)</f>
        <v>698825400</v>
      </c>
    </row>
    <row r="14" spans="1:9" ht="40.5" customHeight="1" x14ac:dyDescent="0.25">
      <c r="A14" s="22" t="s">
        <v>226</v>
      </c>
      <c r="B14" s="50">
        <f>'2C'!C12</f>
        <v>141381508</v>
      </c>
      <c r="C14" s="50">
        <f>'2C'!C13</f>
        <v>32227057</v>
      </c>
      <c r="D14" s="50">
        <f>'2C'!C14</f>
        <v>26640000</v>
      </c>
      <c r="E14" s="50">
        <f>'2C'!C15</f>
        <v>420000</v>
      </c>
      <c r="F14" s="50">
        <v>0</v>
      </c>
      <c r="G14" s="50">
        <v>0</v>
      </c>
      <c r="H14" s="50">
        <v>0</v>
      </c>
      <c r="I14" s="50">
        <f>SUM(B14:H14)</f>
        <v>200668565</v>
      </c>
    </row>
    <row r="15" spans="1:9" ht="40.5" customHeight="1" x14ac:dyDescent="0.25">
      <c r="A15" s="22" t="s">
        <v>8</v>
      </c>
      <c r="B15" s="50">
        <f>'2D'!C12</f>
        <v>500000</v>
      </c>
      <c r="C15" s="50">
        <f>'2D'!C13</f>
        <v>249000</v>
      </c>
      <c r="D15" s="50">
        <f>'2D'!C14</f>
        <v>11812368</v>
      </c>
      <c r="E15" s="50">
        <v>0</v>
      </c>
      <c r="F15" s="50">
        <f>'2D'!C20</f>
        <v>21770798.640000001</v>
      </c>
      <c r="G15" s="50">
        <f>'2D'!C15</f>
        <v>6340000</v>
      </c>
      <c r="H15" s="50">
        <v>235000000</v>
      </c>
      <c r="I15" s="50">
        <f>SUM(B15:H15)</f>
        <v>275672166.63999999</v>
      </c>
    </row>
    <row r="16" spans="1:9" x14ac:dyDescent="0.25">
      <c r="A16" s="51" t="s">
        <v>89</v>
      </c>
      <c r="B16" s="52">
        <f t="shared" ref="B16:I16" si="0">SUM(B13:B15)</f>
        <v>548586508</v>
      </c>
      <c r="C16" s="52">
        <f t="shared" si="0"/>
        <v>130476457</v>
      </c>
      <c r="D16" s="52">
        <f t="shared" si="0"/>
        <v>231722368</v>
      </c>
      <c r="E16" s="52">
        <f t="shared" si="0"/>
        <v>1270000</v>
      </c>
      <c r="F16" s="52">
        <f t="shared" si="0"/>
        <v>21770798.640000001</v>
      </c>
      <c r="G16" s="52">
        <f t="shared" si="0"/>
        <v>6340000</v>
      </c>
      <c r="H16" s="52">
        <f t="shared" si="0"/>
        <v>235000000</v>
      </c>
      <c r="I16" s="52">
        <f t="shared" si="0"/>
        <v>1175166131.6399999</v>
      </c>
    </row>
    <row r="20" spans="1:1" x14ac:dyDescent="0.25">
      <c r="A20" s="1" t="s">
        <v>237</v>
      </c>
    </row>
  </sheetData>
  <mergeCells count="6">
    <mergeCell ref="A8:I8"/>
    <mergeCell ref="B1:C1"/>
    <mergeCell ref="A3:I3"/>
    <mergeCell ref="A4:I4"/>
    <mergeCell ref="A6:I6"/>
    <mergeCell ref="A7:I7"/>
  </mergeCells>
  <pageMargins left="0.70826771653543308" right="0.70826771653543308" top="1.1417322834645671" bottom="1.1417322834645671" header="0.74803149606299213" footer="0.74803149606299213"/>
  <pageSetup paperSize="0" scale="95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opLeftCell="A10" workbookViewId="0">
      <selection activeCell="I16" sqref="I16"/>
    </sheetView>
  </sheetViews>
  <sheetFormatPr defaultRowHeight="15" x14ac:dyDescent="0.25"/>
  <cols>
    <col min="1" max="1" width="27.25" style="1" customWidth="1"/>
    <col min="2" max="2" width="15.5" style="1" customWidth="1"/>
    <col min="3" max="3" width="16.75" style="1" customWidth="1"/>
    <col min="4" max="4" width="14" style="1" customWidth="1"/>
    <col min="5" max="5" width="20.125" style="1" customWidth="1"/>
    <col min="6" max="6" width="14" style="1" customWidth="1"/>
    <col min="7" max="7" width="14.125" style="1" customWidth="1"/>
    <col min="8" max="8" width="13.625" style="1" customWidth="1"/>
    <col min="9" max="9" width="15.25" style="1" customWidth="1"/>
    <col min="10" max="10" width="15.5" style="1" customWidth="1"/>
    <col min="11" max="11" width="19.125" style="1" customWidth="1"/>
    <col min="12" max="12" width="16" style="1" customWidth="1"/>
    <col min="13" max="1025" width="8.75" style="1" customWidth="1"/>
    <col min="1026" max="1026" width="9" customWidth="1"/>
  </cols>
  <sheetData>
    <row r="1" spans="1:12" x14ac:dyDescent="0.25">
      <c r="B1" s="182"/>
      <c r="C1" s="182"/>
      <c r="I1" s="2" t="s">
        <v>90</v>
      </c>
    </row>
    <row r="2" spans="1:12" x14ac:dyDescent="0.25">
      <c r="B2" s="2"/>
    </row>
    <row r="3" spans="1:12" x14ac:dyDescent="0.25">
      <c r="A3" s="179" t="s">
        <v>1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2" x14ac:dyDescent="0.25">
      <c r="A4" s="179" t="s">
        <v>238</v>
      </c>
      <c r="B4" s="179"/>
      <c r="C4" s="179"/>
      <c r="D4" s="179"/>
      <c r="E4" s="179"/>
      <c r="F4" s="179"/>
      <c r="G4" s="179"/>
      <c r="H4" s="179"/>
      <c r="I4" s="179"/>
      <c r="J4" s="179"/>
    </row>
    <row r="6" spans="1:12" x14ac:dyDescent="0.25">
      <c r="A6" s="179" t="s">
        <v>91</v>
      </c>
      <c r="B6" s="179"/>
      <c r="C6" s="179"/>
      <c r="D6" s="179"/>
      <c r="E6" s="179"/>
      <c r="F6" s="179"/>
      <c r="G6" s="179"/>
      <c r="H6" s="179"/>
      <c r="I6" s="179"/>
      <c r="J6" s="179"/>
    </row>
    <row r="7" spans="1:12" x14ac:dyDescent="0.25">
      <c r="A7" s="179" t="s">
        <v>247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12" x14ac:dyDescent="0.25">
      <c r="A8" s="179" t="s">
        <v>14</v>
      </c>
      <c r="B8" s="179"/>
      <c r="C8" s="179"/>
      <c r="D8" s="179"/>
      <c r="E8" s="179"/>
      <c r="F8" s="179"/>
      <c r="G8" s="179"/>
      <c r="H8" s="179"/>
      <c r="I8" s="179"/>
      <c r="J8" s="179"/>
    </row>
    <row r="10" spans="1:12" x14ac:dyDescent="0.25">
      <c r="A10" s="2" t="s">
        <v>92</v>
      </c>
    </row>
    <row r="12" spans="1:12" ht="45" x14ac:dyDescent="0.25">
      <c r="A12" s="2" t="s">
        <v>83</v>
      </c>
      <c r="B12" s="49" t="s">
        <v>93</v>
      </c>
      <c r="C12" s="49" t="s">
        <v>62</v>
      </c>
      <c r="D12" s="2" t="s">
        <v>94</v>
      </c>
      <c r="E12" s="49" t="s">
        <v>95</v>
      </c>
      <c r="F12" s="49" t="s">
        <v>227</v>
      </c>
      <c r="G12" s="49" t="s">
        <v>96</v>
      </c>
      <c r="H12" s="49" t="s">
        <v>97</v>
      </c>
      <c r="I12" s="49" t="s">
        <v>210</v>
      </c>
      <c r="J12" s="49" t="s">
        <v>74</v>
      </c>
    </row>
    <row r="13" spans="1:12" ht="42" customHeight="1" x14ac:dyDescent="0.25">
      <c r="A13" s="53" t="s">
        <v>10</v>
      </c>
      <c r="B13" s="50">
        <f>'2B'!C22</f>
        <v>273830368</v>
      </c>
      <c r="C13" s="54">
        <f>'2B'!C37+'2B'!C38+'2B'!C39+'2B'!C40+'2B'!C41+'2B'!C42+'2B'!C43+'2B'!C44+'2B'!C47</f>
        <v>282702973</v>
      </c>
      <c r="D13" s="54">
        <f>'2B'!C45</f>
        <v>78493074</v>
      </c>
      <c r="E13" s="50"/>
      <c r="F13" s="50">
        <v>0</v>
      </c>
      <c r="G13" s="54">
        <f>'2B'!C46</f>
        <v>17450784</v>
      </c>
      <c r="H13" s="54">
        <f>'2B'!C48</f>
        <v>10348201</v>
      </c>
      <c r="I13" s="50">
        <f>'2B'!C30</f>
        <v>36000000</v>
      </c>
      <c r="J13" s="50">
        <f>SUM(B13:I13)</f>
        <v>698825400</v>
      </c>
      <c r="K13" s="168"/>
      <c r="L13" s="55"/>
    </row>
    <row r="14" spans="1:12" ht="47.25" customHeight="1" x14ac:dyDescent="0.25">
      <c r="A14" s="22" t="s">
        <v>226</v>
      </c>
      <c r="B14" s="50">
        <f>'2C'!C22</f>
        <v>3000000</v>
      </c>
      <c r="C14" s="54">
        <f>79200000+'2C'!C38+'2C'!C41</f>
        <v>108718770</v>
      </c>
      <c r="D14" s="54">
        <f>'2C'!C39</f>
        <v>78217295</v>
      </c>
      <c r="E14" s="54">
        <f>'2C'!C25</f>
        <v>0</v>
      </c>
      <c r="F14" s="54">
        <v>0</v>
      </c>
      <c r="G14" s="54">
        <v>0</v>
      </c>
      <c r="H14" s="50">
        <f>'2C'!C40</f>
        <v>7732500</v>
      </c>
      <c r="I14" s="50">
        <f>'2C'!C30</f>
        <v>3000000</v>
      </c>
      <c r="J14" s="50">
        <f>SUM(B14:I14)</f>
        <v>200668565</v>
      </c>
      <c r="K14" s="168"/>
      <c r="L14" s="55"/>
    </row>
    <row r="15" spans="1:12" ht="43.5" customHeight="1" x14ac:dyDescent="0.25">
      <c r="A15" s="22" t="s">
        <v>8</v>
      </c>
      <c r="B15" s="50">
        <f>'2D'!C24</f>
        <v>10090368</v>
      </c>
      <c r="C15" s="50">
        <v>0</v>
      </c>
      <c r="D15" s="50"/>
      <c r="E15" s="50">
        <f>[2]Társulás!$E$63-1743201</f>
        <v>20581799</v>
      </c>
      <c r="F15" s="50">
        <v>235000000</v>
      </c>
      <c r="G15" s="50">
        <v>0</v>
      </c>
      <c r="H15" s="50"/>
      <c r="I15" s="50">
        <f>'2D'!C33</f>
        <v>10000000</v>
      </c>
      <c r="J15" s="50">
        <f>SUM(B15:I15)</f>
        <v>275672167</v>
      </c>
      <c r="K15" s="168"/>
      <c r="L15" s="55"/>
    </row>
    <row r="16" spans="1:12" ht="15.75" x14ac:dyDescent="0.25">
      <c r="A16" s="56" t="s">
        <v>89</v>
      </c>
      <c r="B16" s="57">
        <f t="shared" ref="B16:J16" si="0">SUM(B13:B15)</f>
        <v>286920736</v>
      </c>
      <c r="C16" s="57">
        <f t="shared" si="0"/>
        <v>391421743</v>
      </c>
      <c r="D16" s="57">
        <f t="shared" si="0"/>
        <v>156710369</v>
      </c>
      <c r="E16" s="57">
        <f t="shared" si="0"/>
        <v>20581799</v>
      </c>
      <c r="F16" s="57">
        <f t="shared" si="0"/>
        <v>235000000</v>
      </c>
      <c r="G16" s="57">
        <f t="shared" si="0"/>
        <v>17450784</v>
      </c>
      <c r="H16" s="57">
        <f t="shared" si="0"/>
        <v>18080701</v>
      </c>
      <c r="I16" s="57">
        <f t="shared" si="0"/>
        <v>49000000</v>
      </c>
      <c r="J16" s="57">
        <f t="shared" si="0"/>
        <v>1175166132</v>
      </c>
      <c r="K16" s="168"/>
      <c r="L16" s="55"/>
    </row>
    <row r="20" spans="1:1" x14ac:dyDescent="0.25">
      <c r="A20" s="1" t="s">
        <v>237</v>
      </c>
    </row>
  </sheetData>
  <mergeCells count="6">
    <mergeCell ref="A8:J8"/>
    <mergeCell ref="B1:C1"/>
    <mergeCell ref="A3:J3"/>
    <mergeCell ref="A4:J4"/>
    <mergeCell ref="A6:J6"/>
    <mergeCell ref="A7:J7"/>
  </mergeCells>
  <pageMargins left="0.70826771653543308" right="0.70826771653543308" top="1.1417322834645671" bottom="1.1417322834645671" header="0.74803149606299213" footer="0.74803149606299213"/>
  <pageSetup paperSize="0" scale="90"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opLeftCell="A10" workbookViewId="0">
      <selection activeCell="A38" sqref="A38"/>
    </sheetView>
  </sheetViews>
  <sheetFormatPr defaultRowHeight="15" x14ac:dyDescent="0.25"/>
  <cols>
    <col min="1" max="1" width="37.5" style="1" customWidth="1"/>
    <col min="2" max="2" width="34.875" style="1" customWidth="1"/>
    <col min="3" max="3" width="18.5" style="1" customWidth="1"/>
    <col min="4" max="1024" width="8.75" style="1" customWidth="1"/>
    <col min="1025" max="1025" width="9" customWidth="1"/>
  </cols>
  <sheetData>
    <row r="1" spans="1:1024" x14ac:dyDescent="0.25">
      <c r="B1" s="179" t="s">
        <v>213</v>
      </c>
      <c r="C1" s="179"/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179" t="s">
        <v>1</v>
      </c>
      <c r="B5" s="179"/>
      <c r="C5" s="179"/>
    </row>
    <row r="6" spans="1:1024" x14ac:dyDescent="0.25">
      <c r="A6" s="179" t="s">
        <v>255</v>
      </c>
      <c r="B6" s="179"/>
      <c r="C6" s="179"/>
    </row>
    <row r="9" spans="1:1024" x14ac:dyDescent="0.25">
      <c r="A9" s="179" t="s">
        <v>101</v>
      </c>
      <c r="B9" s="179"/>
      <c r="C9" s="179"/>
    </row>
    <row r="10" spans="1:1024" x14ac:dyDescent="0.25">
      <c r="A10" s="179" t="s">
        <v>102</v>
      </c>
      <c r="B10" s="179"/>
      <c r="C10" s="179"/>
    </row>
    <row r="12" spans="1:1024" x14ac:dyDescent="0.25">
      <c r="A12" s="2" t="s">
        <v>103</v>
      </c>
      <c r="B12" s="2" t="s">
        <v>104</v>
      </c>
      <c r="C12" s="2" t="s">
        <v>105</v>
      </c>
    </row>
    <row r="13" spans="1:1024" ht="31.5" customHeight="1" x14ac:dyDescent="0.3">
      <c r="A13" s="60" t="s">
        <v>106</v>
      </c>
      <c r="B13" s="22" t="s">
        <v>256</v>
      </c>
      <c r="C13" s="61">
        <f>'4'!C16</f>
        <v>391421743</v>
      </c>
    </row>
    <row r="14" spans="1:1024" ht="45.75" x14ac:dyDescent="0.3">
      <c r="A14" s="22" t="s">
        <v>107</v>
      </c>
      <c r="B14" s="22" t="s">
        <v>173</v>
      </c>
      <c r="C14" s="61">
        <f>[2]Társulás!$E$57</f>
        <v>17450784</v>
      </c>
    </row>
    <row r="15" spans="1:1024" s="96" customFormat="1" ht="45.75" x14ac:dyDescent="0.3">
      <c r="A15" s="22" t="s">
        <v>107</v>
      </c>
      <c r="B15" s="22" t="s">
        <v>257</v>
      </c>
      <c r="C15" s="61">
        <f>'[2]KESZI 2016.12.12.'!$G$97</f>
        <v>10090368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ht="30.75" x14ac:dyDescent="0.3">
      <c r="A16" s="22" t="s">
        <v>108</v>
      </c>
      <c r="B16" s="22" t="s">
        <v>258</v>
      </c>
      <c r="C16" s="61">
        <f>'4'!D13</f>
        <v>78493074</v>
      </c>
    </row>
    <row r="17" spans="1:1024" ht="30.75" x14ac:dyDescent="0.3">
      <c r="A17" s="22" t="s">
        <v>108</v>
      </c>
      <c r="B17" s="22" t="s">
        <v>259</v>
      </c>
      <c r="C17" s="61">
        <f>'4'!D14</f>
        <v>78217295</v>
      </c>
    </row>
    <row r="18" spans="1:1024" ht="30.75" x14ac:dyDescent="0.3">
      <c r="A18" s="22" t="s">
        <v>174</v>
      </c>
      <c r="B18" s="22" t="s">
        <v>260</v>
      </c>
      <c r="C18" s="61">
        <f>[2]Társulás!$E$60+[2]Társulás!$E$66</f>
        <v>4160500</v>
      </c>
    </row>
    <row r="19" spans="1:1024" ht="45.75" x14ac:dyDescent="0.3">
      <c r="A19" s="22" t="s">
        <v>174</v>
      </c>
      <c r="B19" s="22" t="s">
        <v>172</v>
      </c>
      <c r="C19" s="61">
        <f>[2]Társulás!$E$58+[2]Társulás!$E$59+[2]Társulás!$E$61+[2]Társulás!$E$62+[2]Társulás!$E$64+[2]Társulás!$E$65+[2]Társulás!$E$67+[2]Társulás!$E$68</f>
        <v>34502000</v>
      </c>
    </row>
    <row r="20" spans="1:1024" ht="18.75" x14ac:dyDescent="0.3">
      <c r="A20" s="51" t="s">
        <v>109</v>
      </c>
      <c r="B20" s="62"/>
      <c r="C20" s="63">
        <f>SUM(C13:C19)</f>
        <v>614335764</v>
      </c>
    </row>
    <row r="21" spans="1:1024" x14ac:dyDescent="0.25">
      <c r="B21" s="48" t="s">
        <v>110</v>
      </c>
    </row>
    <row r="23" spans="1:1024" x14ac:dyDescent="0.25">
      <c r="A23" s="179" t="s">
        <v>111</v>
      </c>
      <c r="B23" s="179"/>
      <c r="C23" s="179"/>
    </row>
    <row r="24" spans="1:1024" x14ac:dyDescent="0.25">
      <c r="A24" s="179" t="s">
        <v>102</v>
      </c>
      <c r="B24" s="179"/>
      <c r="C24" s="179"/>
    </row>
    <row r="26" spans="1:1024" x14ac:dyDescent="0.25">
      <c r="A26" s="2" t="s">
        <v>112</v>
      </c>
      <c r="B26" s="2" t="s">
        <v>113</v>
      </c>
      <c r="C26" s="2" t="s">
        <v>105</v>
      </c>
    </row>
    <row r="27" spans="1:1024" ht="18.75" x14ac:dyDescent="0.3">
      <c r="A27" s="22" t="s">
        <v>175</v>
      </c>
      <c r="B27" s="22" t="s">
        <v>176</v>
      </c>
      <c r="C27" s="64">
        <f>[2]Társulás!$E$23</f>
        <v>3600000</v>
      </c>
    </row>
    <row r="28" spans="1:1024" ht="30.75" x14ac:dyDescent="0.3">
      <c r="A28" s="22" t="s">
        <v>214</v>
      </c>
      <c r="B28" s="22" t="s">
        <v>114</v>
      </c>
      <c r="C28" s="64">
        <f>[2]Társulás!$E$24</f>
        <v>900000</v>
      </c>
    </row>
    <row r="29" spans="1:1024" ht="18.75" x14ac:dyDescent="0.3">
      <c r="A29" s="22" t="s">
        <v>115</v>
      </c>
      <c r="B29" s="22" t="s">
        <v>116</v>
      </c>
      <c r="C29" s="64">
        <f>[2]Társulás!$E$25</f>
        <v>1840000</v>
      </c>
    </row>
    <row r="30" spans="1:1024" ht="60.75" x14ac:dyDescent="0.3">
      <c r="A30" s="22" t="s">
        <v>226</v>
      </c>
      <c r="B30" s="22" t="s">
        <v>117</v>
      </c>
      <c r="C30" s="64">
        <f>'2C'!C27</f>
        <v>194668565</v>
      </c>
      <c r="I30" s="65"/>
    </row>
    <row r="31" spans="1:1024" ht="60.75" x14ac:dyDescent="0.3">
      <c r="A31" s="22" t="s">
        <v>118</v>
      </c>
      <c r="B31" s="105" t="s">
        <v>117</v>
      </c>
      <c r="C31" s="106">
        <f>'2B'!C27</f>
        <v>388995032</v>
      </c>
      <c r="F31" s="65"/>
    </row>
    <row r="32" spans="1:1024" s="96" customFormat="1" ht="60.75" x14ac:dyDescent="0.3">
      <c r="A32" s="145" t="s">
        <v>118</v>
      </c>
      <c r="B32" s="146" t="s">
        <v>177</v>
      </c>
      <c r="C32" s="147">
        <f>C15</f>
        <v>10090368</v>
      </c>
      <c r="D32" s="1"/>
      <c r="E32" s="1"/>
      <c r="F32" s="6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s="137" customFormat="1" ht="30.75" x14ac:dyDescent="0.3">
      <c r="A33" s="22" t="s">
        <v>226</v>
      </c>
      <c r="B33" s="107" t="s">
        <v>215</v>
      </c>
      <c r="C33" s="108">
        <f>[2]Társulás!$E$32</f>
        <v>1098541.68</v>
      </c>
      <c r="D33" s="1"/>
      <c r="E33" s="1"/>
      <c r="F33" s="6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</row>
    <row r="34" spans="1:1024" s="137" customFormat="1" ht="30.75" x14ac:dyDescent="0.3">
      <c r="A34" s="145" t="s">
        <v>118</v>
      </c>
      <c r="B34" s="107" t="s">
        <v>215</v>
      </c>
      <c r="C34" s="108">
        <f>[2]Társulás!$E$33</f>
        <v>7480878.96</v>
      </c>
      <c r="D34" s="1"/>
      <c r="E34" s="1"/>
      <c r="F34" s="6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</row>
    <row r="35" spans="1:1024" ht="18.75" x14ac:dyDescent="0.3">
      <c r="A35" s="66" t="s">
        <v>109</v>
      </c>
      <c r="B35" s="67"/>
      <c r="C35" s="68">
        <f>SUM(C27:C34)</f>
        <v>608673385.63999999</v>
      </c>
    </row>
    <row r="36" spans="1:1024" x14ac:dyDescent="0.25">
      <c r="B36" s="48" t="s">
        <v>119</v>
      </c>
    </row>
    <row r="38" spans="1:1024" x14ac:dyDescent="0.25">
      <c r="A38" s="1" t="s">
        <v>237</v>
      </c>
    </row>
  </sheetData>
  <mergeCells count="7">
    <mergeCell ref="A24:C24"/>
    <mergeCell ref="B1:C1"/>
    <mergeCell ref="A5:C5"/>
    <mergeCell ref="A6:C6"/>
    <mergeCell ref="A9:C9"/>
    <mergeCell ref="A10:C10"/>
    <mergeCell ref="A23:C23"/>
  </mergeCells>
  <pageMargins left="0.75984251968503913" right="0.70000000000000007" top="0.85354330708661408" bottom="0.74370078740157508" header="0.45984251968503903" footer="0.35000000000000003"/>
  <pageSetup paperSize="0" scale="8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1"/>
  <sheetViews>
    <sheetView topLeftCell="E40" workbookViewId="0">
      <selection activeCell="N34" sqref="N34"/>
    </sheetView>
  </sheetViews>
  <sheetFormatPr defaultRowHeight="15" x14ac:dyDescent="0.25"/>
  <cols>
    <col min="1" max="1" width="26.875" style="1" customWidth="1"/>
    <col min="2" max="2" width="13" style="1" customWidth="1"/>
    <col min="3" max="3" width="13.25" style="1" customWidth="1"/>
    <col min="4" max="4" width="13.125" style="1" customWidth="1"/>
    <col min="5" max="5" width="13" style="1" customWidth="1"/>
    <col min="6" max="6" width="12.875" style="1" customWidth="1"/>
    <col min="7" max="7" width="13.5" style="1" customWidth="1"/>
    <col min="8" max="8" width="12.75" style="1" customWidth="1"/>
    <col min="9" max="9" width="13.375" style="1" customWidth="1"/>
    <col min="10" max="10" width="14.375" style="1" customWidth="1"/>
    <col min="11" max="11" width="14.75" style="1" customWidth="1"/>
    <col min="12" max="12" width="14.25" style="1" customWidth="1"/>
    <col min="13" max="13" width="13.25" style="1" customWidth="1"/>
    <col min="14" max="14" width="16.5" style="1" customWidth="1"/>
    <col min="15" max="15" width="11.25" style="1" customWidth="1"/>
    <col min="16" max="1024" width="8.75" style="1" customWidth="1"/>
    <col min="1025" max="1025" width="9" customWidth="1"/>
  </cols>
  <sheetData>
    <row r="1" spans="1:14" x14ac:dyDescent="0.25">
      <c r="B1" s="182"/>
      <c r="C1" s="182"/>
      <c r="M1" s="179" t="s">
        <v>216</v>
      </c>
      <c r="N1" s="179"/>
    </row>
    <row r="2" spans="1:14" x14ac:dyDescent="0.25">
      <c r="B2" s="2"/>
    </row>
    <row r="3" spans="1:14" x14ac:dyDescent="0.25">
      <c r="B3" s="2"/>
    </row>
    <row r="4" spans="1:14" x14ac:dyDescent="0.25">
      <c r="B4" s="2"/>
    </row>
    <row r="5" spans="1:14" x14ac:dyDescent="0.25">
      <c r="A5" s="179" t="s">
        <v>1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</row>
    <row r="6" spans="1:14" x14ac:dyDescent="0.25">
      <c r="A6" s="179" t="s">
        <v>238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</row>
    <row r="8" spans="1:14" x14ac:dyDescent="0.25">
      <c r="A8" s="179" t="s">
        <v>120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</row>
    <row r="9" spans="1:14" x14ac:dyDescent="0.25">
      <c r="A9" s="179" t="s">
        <v>261</v>
      </c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</row>
    <row r="11" spans="1:14" x14ac:dyDescent="0.25">
      <c r="A11" s="2" t="s">
        <v>121</v>
      </c>
      <c r="B11" s="2" t="s">
        <v>122</v>
      </c>
      <c r="C11" s="2" t="s">
        <v>123</v>
      </c>
      <c r="D11" s="2" t="s">
        <v>124</v>
      </c>
      <c r="E11" s="2" t="s">
        <v>125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131</v>
      </c>
      <c r="L11" s="2" t="s">
        <v>132</v>
      </c>
      <c r="M11" s="2" t="s">
        <v>133</v>
      </c>
      <c r="N11" s="2" t="s">
        <v>134</v>
      </c>
    </row>
    <row r="12" spans="1:14" x14ac:dyDescent="0.25">
      <c r="A12" s="2" t="s">
        <v>135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4" ht="15.75" x14ac:dyDescent="0.25">
      <c r="A13" s="70" t="s">
        <v>136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250000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250000</v>
      </c>
      <c r="N13" s="71">
        <f>'2D'!C12</f>
        <v>500000</v>
      </c>
    </row>
    <row r="14" spans="1:14" ht="15.75" x14ac:dyDescent="0.25">
      <c r="A14" s="70" t="s">
        <v>84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124500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124500</v>
      </c>
      <c r="N14" s="71">
        <f>'2D'!C13</f>
        <v>249000</v>
      </c>
    </row>
    <row r="15" spans="1:14" ht="15.75" x14ac:dyDescent="0.25">
      <c r="A15" s="70" t="s">
        <v>85</v>
      </c>
      <c r="B15" s="50">
        <v>143296</v>
      </c>
      <c r="C15" s="50">
        <v>143296</v>
      </c>
      <c r="D15" s="50">
        <v>2665000</v>
      </c>
      <c r="E15" s="50">
        <v>143296</v>
      </c>
      <c r="F15" s="50">
        <v>143296</v>
      </c>
      <c r="G15" s="50">
        <v>2665000</v>
      </c>
      <c r="H15" s="50">
        <v>143296</v>
      </c>
      <c r="I15" s="50">
        <v>143296</v>
      </c>
      <c r="J15" s="50">
        <v>2665000</v>
      </c>
      <c r="K15" s="50">
        <v>143296</v>
      </c>
      <c r="L15" s="50">
        <v>143296</v>
      </c>
      <c r="M15" s="50">
        <v>2671000</v>
      </c>
      <c r="N15" s="71">
        <f>'2D'!C14</f>
        <v>11812368</v>
      </c>
    </row>
    <row r="16" spans="1:14" ht="15.75" x14ac:dyDescent="0.25">
      <c r="A16" s="70" t="s">
        <v>137</v>
      </c>
      <c r="B16" s="50">
        <v>0</v>
      </c>
      <c r="C16" s="50">
        <v>0</v>
      </c>
      <c r="D16" s="50">
        <v>0</v>
      </c>
      <c r="E16" s="50">
        <v>1800000</v>
      </c>
      <c r="F16" s="50">
        <v>900000</v>
      </c>
      <c r="G16" s="50">
        <v>1840000</v>
      </c>
      <c r="H16" s="50">
        <v>0</v>
      </c>
      <c r="I16" s="50">
        <v>0</v>
      </c>
      <c r="J16" s="50">
        <v>0</v>
      </c>
      <c r="K16" s="50">
        <v>1800000</v>
      </c>
      <c r="L16" s="50">
        <v>0</v>
      </c>
      <c r="M16" s="50">
        <v>0</v>
      </c>
      <c r="N16" s="71">
        <f>'2D'!C15</f>
        <v>6340000</v>
      </c>
    </row>
    <row r="17" spans="1:1024" ht="15.75" x14ac:dyDescent="0.25">
      <c r="A17" s="70" t="s">
        <v>138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35000000</v>
      </c>
      <c r="J17" s="50">
        <v>100000000</v>
      </c>
      <c r="K17" s="50">
        <v>0</v>
      </c>
      <c r="L17" s="50">
        <v>100000000</v>
      </c>
      <c r="M17" s="50">
        <v>0</v>
      </c>
      <c r="N17" s="71">
        <f>SUM(B17:M17)</f>
        <v>235000000</v>
      </c>
    </row>
    <row r="18" spans="1:1024" ht="15.75" x14ac:dyDescent="0.25">
      <c r="A18" s="70" t="s">
        <v>87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21770799</v>
      </c>
      <c r="N18" s="71">
        <f>'2D'!C20</f>
        <v>21770798.640000001</v>
      </c>
    </row>
    <row r="19" spans="1:1024" ht="15.75" x14ac:dyDescent="0.25">
      <c r="A19" s="72" t="s">
        <v>139</v>
      </c>
      <c r="B19" s="73">
        <f t="shared" ref="B19:M19" si="0">SUM(B13:B18)</f>
        <v>143296</v>
      </c>
      <c r="C19" s="73">
        <f t="shared" si="0"/>
        <v>143296</v>
      </c>
      <c r="D19" s="73">
        <f t="shared" si="0"/>
        <v>2665000</v>
      </c>
      <c r="E19" s="73">
        <f t="shared" si="0"/>
        <v>1943296</v>
      </c>
      <c r="F19" s="73">
        <f t="shared" si="0"/>
        <v>1043296</v>
      </c>
      <c r="G19" s="73">
        <f t="shared" si="0"/>
        <v>4879500</v>
      </c>
      <c r="H19" s="73">
        <f t="shared" si="0"/>
        <v>143296</v>
      </c>
      <c r="I19" s="73">
        <f t="shared" si="0"/>
        <v>35143296</v>
      </c>
      <c r="J19" s="73">
        <f t="shared" si="0"/>
        <v>102665000</v>
      </c>
      <c r="K19" s="73">
        <f t="shared" si="0"/>
        <v>1943296</v>
      </c>
      <c r="L19" s="73">
        <f t="shared" si="0"/>
        <v>100143296</v>
      </c>
      <c r="M19" s="73">
        <f t="shared" si="0"/>
        <v>24816299</v>
      </c>
      <c r="N19" s="73">
        <f>SUM(N13:N18)</f>
        <v>275672166.63999999</v>
      </c>
      <c r="O19" s="55"/>
    </row>
    <row r="21" spans="1:1024" x14ac:dyDescent="0.25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125</v>
      </c>
      <c r="F21" s="2" t="s">
        <v>126</v>
      </c>
      <c r="G21" s="2" t="s">
        <v>127</v>
      </c>
      <c r="H21" s="2" t="s">
        <v>128</v>
      </c>
      <c r="I21" s="2" t="s">
        <v>129</v>
      </c>
      <c r="J21" s="2" t="s">
        <v>130</v>
      </c>
      <c r="K21" s="2" t="s">
        <v>131</v>
      </c>
      <c r="L21" s="2" t="s">
        <v>132</v>
      </c>
      <c r="M21" s="2" t="s">
        <v>133</v>
      </c>
      <c r="N21" s="2" t="s">
        <v>134</v>
      </c>
    </row>
    <row r="22" spans="1:1024" x14ac:dyDescent="0.25">
      <c r="A22" s="2" t="s">
        <v>140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024" ht="15.75" x14ac:dyDescent="0.25">
      <c r="A23" s="70" t="s">
        <v>217</v>
      </c>
      <c r="B23" s="50">
        <v>0</v>
      </c>
      <c r="C23" s="50">
        <v>0</v>
      </c>
      <c r="D23" s="50">
        <v>2522592</v>
      </c>
      <c r="E23" s="50">
        <v>0</v>
      </c>
      <c r="F23" s="50">
        <v>0</v>
      </c>
      <c r="G23" s="50">
        <v>2522592</v>
      </c>
      <c r="H23" s="50">
        <v>0</v>
      </c>
      <c r="I23" s="50">
        <v>0</v>
      </c>
      <c r="J23" s="50">
        <v>2522592</v>
      </c>
      <c r="K23" s="50">
        <v>0</v>
      </c>
      <c r="L23" s="50">
        <v>0</v>
      </c>
      <c r="M23" s="50">
        <v>2522592</v>
      </c>
      <c r="N23" s="71">
        <f>'2D'!C24</f>
        <v>10090368</v>
      </c>
    </row>
    <row r="24" spans="1:1024" ht="15.75" x14ac:dyDescent="0.25">
      <c r="A24" s="70" t="s">
        <v>62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71">
        <v>0</v>
      </c>
    </row>
    <row r="25" spans="1:1024" ht="15.75" x14ac:dyDescent="0.25">
      <c r="A25" s="70" t="s">
        <v>141</v>
      </c>
      <c r="B25" s="50">
        <v>0</v>
      </c>
      <c r="C25" s="50">
        <v>0</v>
      </c>
      <c r="D25" s="50">
        <v>10000000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f>N25-D25</f>
        <v>10584799</v>
      </c>
      <c r="L25" s="50">
        <v>0</v>
      </c>
      <c r="M25" s="50">
        <v>0</v>
      </c>
      <c r="N25" s="71">
        <f>N28-N23-N27-N26</f>
        <v>20584799</v>
      </c>
    </row>
    <row r="26" spans="1:1024" s="151" customFormat="1" ht="15.75" x14ac:dyDescent="0.25">
      <c r="A26" s="70" t="s">
        <v>228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35000000</v>
      </c>
      <c r="I26" s="50">
        <v>0</v>
      </c>
      <c r="J26" s="50">
        <v>100000000</v>
      </c>
      <c r="K26" s="50">
        <v>0</v>
      </c>
      <c r="L26" s="50">
        <v>100000000</v>
      </c>
      <c r="M26" s="50">
        <v>0</v>
      </c>
      <c r="N26" s="71">
        <f>SUM(B26:M26)</f>
        <v>235000000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70" t="s">
        <v>50</v>
      </c>
      <c r="B27" s="50">
        <v>143296</v>
      </c>
      <c r="C27" s="50">
        <v>143296</v>
      </c>
      <c r="D27" s="50">
        <v>0</v>
      </c>
      <c r="E27" s="50">
        <v>0</v>
      </c>
      <c r="F27" s="50">
        <v>0</v>
      </c>
      <c r="G27" s="50"/>
      <c r="H27" s="50"/>
      <c r="I27" s="50"/>
      <c r="J27" s="50"/>
      <c r="K27" s="50">
        <v>0</v>
      </c>
      <c r="L27" s="50">
        <v>0</v>
      </c>
      <c r="M27" s="50">
        <f>N27-B27-C27</f>
        <v>9713408</v>
      </c>
      <c r="N27" s="71">
        <f>'2D'!C33</f>
        <v>10000000</v>
      </c>
    </row>
    <row r="28" spans="1:1024" ht="15.75" x14ac:dyDescent="0.25">
      <c r="A28" s="72" t="s">
        <v>142</v>
      </c>
      <c r="B28" s="73">
        <f>SUM(B23:B27)</f>
        <v>143296</v>
      </c>
      <c r="C28" s="73">
        <f t="shared" ref="C28:M28" si="1">SUM(C23:C27)</f>
        <v>143296</v>
      </c>
      <c r="D28" s="73">
        <f t="shared" si="1"/>
        <v>12522592</v>
      </c>
      <c r="E28" s="73">
        <f t="shared" si="1"/>
        <v>0</v>
      </c>
      <c r="F28" s="73">
        <f t="shared" si="1"/>
        <v>0</v>
      </c>
      <c r="G28" s="73">
        <f t="shared" si="1"/>
        <v>2522592</v>
      </c>
      <c r="H28" s="73">
        <f t="shared" si="1"/>
        <v>35000000</v>
      </c>
      <c r="I28" s="73">
        <f t="shared" si="1"/>
        <v>0</v>
      </c>
      <c r="J28" s="73">
        <f>SUM(J23:J27)</f>
        <v>102522592</v>
      </c>
      <c r="K28" s="73">
        <f t="shared" si="1"/>
        <v>10584799</v>
      </c>
      <c r="L28" s="73">
        <f t="shared" si="1"/>
        <v>100000000</v>
      </c>
      <c r="M28" s="73">
        <f t="shared" si="1"/>
        <v>12236000</v>
      </c>
      <c r="N28" s="73">
        <v>275675167</v>
      </c>
    </row>
    <row r="29" spans="1:1024" s="143" customForma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25">
      <c r="A30" s="179" t="s">
        <v>110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</row>
    <row r="32" spans="1:1024" x14ac:dyDescent="0.25">
      <c r="A32" s="179" t="s">
        <v>1</v>
      </c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</row>
    <row r="33" spans="1:14" x14ac:dyDescent="0.25">
      <c r="A33" s="179" t="s">
        <v>238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</row>
    <row r="35" spans="1:14" x14ac:dyDescent="0.25">
      <c r="A35" s="179" t="s">
        <v>226</v>
      </c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 x14ac:dyDescent="0.25">
      <c r="A36" s="179" t="s">
        <v>261</v>
      </c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8" spans="1:14" x14ac:dyDescent="0.25">
      <c r="A38" s="2" t="s">
        <v>121</v>
      </c>
      <c r="B38" s="2" t="s">
        <v>122</v>
      </c>
      <c r="C38" s="2" t="s">
        <v>123</v>
      </c>
      <c r="D38" s="2" t="s">
        <v>124</v>
      </c>
      <c r="E38" s="2" t="s">
        <v>125</v>
      </c>
      <c r="F38" s="2" t="s">
        <v>126</v>
      </c>
      <c r="G38" s="2" t="s">
        <v>127</v>
      </c>
      <c r="H38" s="2" t="s">
        <v>128</v>
      </c>
      <c r="I38" s="2" t="s">
        <v>129</v>
      </c>
      <c r="J38" s="2" t="s">
        <v>130</v>
      </c>
      <c r="K38" s="2" t="s">
        <v>131</v>
      </c>
      <c r="L38" s="2" t="s">
        <v>132</v>
      </c>
      <c r="M38" s="2" t="s">
        <v>133</v>
      </c>
      <c r="N38" s="2" t="s">
        <v>134</v>
      </c>
    </row>
    <row r="39" spans="1:14" x14ac:dyDescent="0.25">
      <c r="A39" s="2" t="s">
        <v>135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4" ht="15.75" x14ac:dyDescent="0.25">
      <c r="A40" s="70" t="s">
        <v>136</v>
      </c>
      <c r="B40" s="50">
        <v>10875500</v>
      </c>
      <c r="C40" s="50">
        <v>10875500</v>
      </c>
      <c r="D40" s="50">
        <v>10875500</v>
      </c>
      <c r="E40" s="50">
        <v>10875500</v>
      </c>
      <c r="F40" s="50">
        <v>10875500</v>
      </c>
      <c r="G40" s="50">
        <f>10875500+5437750</f>
        <v>16313250</v>
      </c>
      <c r="H40" s="50">
        <v>10875500</v>
      </c>
      <c r="I40" s="50">
        <v>10875500</v>
      </c>
      <c r="J40" s="50">
        <f>10875500+5437750+8</f>
        <v>16313258</v>
      </c>
      <c r="K40" s="50">
        <v>10875500</v>
      </c>
      <c r="L40" s="50">
        <v>10875500</v>
      </c>
      <c r="M40" s="50">
        <v>10875500</v>
      </c>
      <c r="N40" s="71">
        <f>'2C'!C12</f>
        <v>141381508</v>
      </c>
    </row>
    <row r="41" spans="1:14" ht="15.75" x14ac:dyDescent="0.25">
      <c r="A41" s="70" t="s">
        <v>84</v>
      </c>
      <c r="B41" s="50">
        <f>B40*0.27-500000</f>
        <v>2436385</v>
      </c>
      <c r="C41" s="50">
        <f t="shared" ref="C41:M41" si="2">C40*0.27-500000</f>
        <v>2436385</v>
      </c>
      <c r="D41" s="50">
        <f t="shared" si="2"/>
        <v>2436385</v>
      </c>
      <c r="E41" s="50">
        <f t="shared" si="2"/>
        <v>2436385</v>
      </c>
      <c r="F41" s="50">
        <f t="shared" si="2"/>
        <v>2436385</v>
      </c>
      <c r="G41" s="50">
        <f>G40*0.27-500000+54049</f>
        <v>3958626.5</v>
      </c>
      <c r="H41" s="50">
        <f t="shared" si="2"/>
        <v>2436385</v>
      </c>
      <c r="I41" s="50">
        <f t="shared" si="2"/>
        <v>2436385</v>
      </c>
      <c r="J41" s="50">
        <f t="shared" si="2"/>
        <v>3904579.66</v>
      </c>
      <c r="K41" s="50">
        <f t="shared" si="2"/>
        <v>2436385</v>
      </c>
      <c r="L41" s="50">
        <f t="shared" si="2"/>
        <v>2436385</v>
      </c>
      <c r="M41" s="50">
        <f t="shared" si="2"/>
        <v>2436385</v>
      </c>
      <c r="N41" s="71">
        <f>'2C'!C13</f>
        <v>32227057</v>
      </c>
    </row>
    <row r="42" spans="1:14" ht="15.75" x14ac:dyDescent="0.25">
      <c r="A42" s="70" t="s">
        <v>85</v>
      </c>
      <c r="B42" s="50">
        <v>2220000</v>
      </c>
      <c r="C42" s="50">
        <v>2220000</v>
      </c>
      <c r="D42" s="50">
        <v>2220000</v>
      </c>
      <c r="E42" s="50">
        <v>2220000</v>
      </c>
      <c r="F42" s="50">
        <v>2220000</v>
      </c>
      <c r="G42" s="50">
        <v>2220000</v>
      </c>
      <c r="H42" s="50">
        <v>2220000</v>
      </c>
      <c r="I42" s="50">
        <f>2220000-220000</f>
        <v>2000000</v>
      </c>
      <c r="J42" s="50">
        <f>2220000-405000</f>
        <v>1815000</v>
      </c>
      <c r="K42" s="50">
        <v>2220000</v>
      </c>
      <c r="L42" s="50">
        <v>2220000</v>
      </c>
      <c r="M42" s="50">
        <f>2220000+220000+405000</f>
        <v>2845000</v>
      </c>
      <c r="N42" s="71">
        <f>'2C'!C14</f>
        <v>26640000</v>
      </c>
    </row>
    <row r="43" spans="1:14" ht="15.75" x14ac:dyDescent="0.25">
      <c r="A43" s="70" t="s">
        <v>137</v>
      </c>
      <c r="B43" s="50">
        <v>35000</v>
      </c>
      <c r="C43" s="50">
        <v>35000</v>
      </c>
      <c r="D43" s="50">
        <v>35000</v>
      </c>
      <c r="E43" s="50">
        <v>35000</v>
      </c>
      <c r="F43" s="50">
        <v>35000</v>
      </c>
      <c r="G43" s="50">
        <v>35000</v>
      </c>
      <c r="H43" s="50">
        <v>35000</v>
      </c>
      <c r="I43" s="50">
        <v>35000</v>
      </c>
      <c r="J43" s="50">
        <v>35000</v>
      </c>
      <c r="K43" s="50">
        <v>35000</v>
      </c>
      <c r="L43" s="50">
        <v>35000</v>
      </c>
      <c r="M43" s="50">
        <v>35000</v>
      </c>
      <c r="N43" s="71">
        <f>'2C'!C15</f>
        <v>420000</v>
      </c>
    </row>
    <row r="44" spans="1:14" ht="15.75" x14ac:dyDescent="0.25">
      <c r="A44" s="70" t="s">
        <v>138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71">
        <v>0</v>
      </c>
    </row>
    <row r="45" spans="1:14" ht="15.75" x14ac:dyDescent="0.25">
      <c r="A45" s="72" t="s">
        <v>139</v>
      </c>
      <c r="B45" s="73">
        <f t="shared" ref="B45:N45" si="3">SUM(B40:B44)</f>
        <v>15566885</v>
      </c>
      <c r="C45" s="73">
        <f t="shared" si="3"/>
        <v>15566885</v>
      </c>
      <c r="D45" s="73">
        <f t="shared" si="3"/>
        <v>15566885</v>
      </c>
      <c r="E45" s="73">
        <f t="shared" si="3"/>
        <v>15566885</v>
      </c>
      <c r="F45" s="73">
        <f t="shared" si="3"/>
        <v>15566885</v>
      </c>
      <c r="G45" s="73">
        <f t="shared" si="3"/>
        <v>22526876.5</v>
      </c>
      <c r="H45" s="73">
        <f t="shared" si="3"/>
        <v>15566885</v>
      </c>
      <c r="I45" s="73">
        <f t="shared" si="3"/>
        <v>15346885</v>
      </c>
      <c r="J45" s="73">
        <f t="shared" si="3"/>
        <v>22067837.66</v>
      </c>
      <c r="K45" s="73">
        <f t="shared" si="3"/>
        <v>15566885</v>
      </c>
      <c r="L45" s="73">
        <f t="shared" si="3"/>
        <v>15566885</v>
      </c>
      <c r="M45" s="73">
        <f t="shared" si="3"/>
        <v>16191885</v>
      </c>
      <c r="N45" s="73">
        <f t="shared" si="3"/>
        <v>200668565</v>
      </c>
    </row>
    <row r="47" spans="1:14" x14ac:dyDescent="0.25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125</v>
      </c>
      <c r="F47" s="2" t="s">
        <v>126</v>
      </c>
      <c r="G47" s="2" t="s">
        <v>127</v>
      </c>
      <c r="H47" s="2" t="s">
        <v>128</v>
      </c>
      <c r="I47" s="2" t="s">
        <v>129</v>
      </c>
      <c r="J47" s="2" t="s">
        <v>130</v>
      </c>
      <c r="K47" s="2" t="s">
        <v>131</v>
      </c>
      <c r="L47" s="2" t="s">
        <v>132</v>
      </c>
      <c r="M47" s="2" t="s">
        <v>133</v>
      </c>
      <c r="N47" s="2" t="s">
        <v>134</v>
      </c>
    </row>
    <row r="48" spans="1:14" x14ac:dyDescent="0.25">
      <c r="A48" s="2" t="s">
        <v>140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</row>
    <row r="49" spans="1:15" ht="15.75" x14ac:dyDescent="0.25">
      <c r="A49" s="70" t="s">
        <v>217</v>
      </c>
      <c r="B49" s="50">
        <v>250000</v>
      </c>
      <c r="C49" s="50">
        <v>250000</v>
      </c>
      <c r="D49" s="50">
        <v>250000</v>
      </c>
      <c r="E49" s="50">
        <v>250000</v>
      </c>
      <c r="F49" s="50">
        <v>250000</v>
      </c>
      <c r="G49" s="50">
        <v>250000</v>
      </c>
      <c r="H49" s="50">
        <v>250000</v>
      </c>
      <c r="I49" s="50">
        <v>250000</v>
      </c>
      <c r="J49" s="50">
        <v>250000</v>
      </c>
      <c r="K49" s="50">
        <v>250000</v>
      </c>
      <c r="L49" s="50">
        <v>250000</v>
      </c>
      <c r="M49" s="50">
        <v>250000</v>
      </c>
      <c r="N49" s="71">
        <f>'2C'!C22</f>
        <v>3000000</v>
      </c>
    </row>
    <row r="50" spans="1:15" ht="15.75" x14ac:dyDescent="0.25">
      <c r="A50" s="70" t="s">
        <v>62</v>
      </c>
      <c r="B50" s="50">
        <v>8362900</v>
      </c>
      <c r="C50" s="50">
        <v>8362900</v>
      </c>
      <c r="D50" s="50">
        <v>8362900</v>
      </c>
      <c r="E50" s="50">
        <v>8362900</v>
      </c>
      <c r="F50" s="50">
        <v>8362900</v>
      </c>
      <c r="G50" s="50">
        <f>8362900+4181491</f>
        <v>12544391</v>
      </c>
      <c r="H50" s="50">
        <v>8362900</v>
      </c>
      <c r="I50" s="50">
        <v>8362900</v>
      </c>
      <c r="J50" s="50">
        <f>8362900+4181491+988</f>
        <v>12545379</v>
      </c>
      <c r="K50" s="50">
        <v>8362900</v>
      </c>
      <c r="L50" s="50">
        <v>8362900</v>
      </c>
      <c r="M50" s="50">
        <v>8362900</v>
      </c>
      <c r="N50" s="71">
        <f>'4'!C14</f>
        <v>108718770</v>
      </c>
    </row>
    <row r="51" spans="1:15" ht="15.75" x14ac:dyDescent="0.25">
      <c r="A51" s="70" t="s">
        <v>141</v>
      </c>
      <c r="B51" s="50">
        <v>7162000</v>
      </c>
      <c r="C51" s="50">
        <v>7162000</v>
      </c>
      <c r="D51" s="50">
        <v>7162000</v>
      </c>
      <c r="E51" s="50">
        <v>7162000</v>
      </c>
      <c r="F51" s="50">
        <v>7162000</v>
      </c>
      <c r="G51" s="50">
        <v>7162000</v>
      </c>
      <c r="H51" s="50">
        <f>7162000-1670000</f>
        <v>5492000</v>
      </c>
      <c r="I51" s="50">
        <v>7162000</v>
      </c>
      <c r="J51" s="50">
        <f>7162000+5795+1670000</f>
        <v>8837795</v>
      </c>
      <c r="K51" s="50">
        <v>7162000</v>
      </c>
      <c r="L51" s="50">
        <v>7162000</v>
      </c>
      <c r="M51" s="50">
        <v>7162000</v>
      </c>
      <c r="N51" s="71">
        <f>'4'!D14+'4'!H14</f>
        <v>85949795</v>
      </c>
    </row>
    <row r="52" spans="1:15" ht="15.75" x14ac:dyDescent="0.25">
      <c r="A52" s="70" t="s">
        <v>50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3000000</v>
      </c>
      <c r="H52" s="50">
        <v>0</v>
      </c>
      <c r="I52" s="50">
        <v>0</v>
      </c>
      <c r="J52" s="50">
        <v>0</v>
      </c>
      <c r="K52" s="50">
        <v>0</v>
      </c>
      <c r="L52" s="50">
        <v>4228</v>
      </c>
      <c r="M52" s="50">
        <v>0</v>
      </c>
      <c r="N52" s="71">
        <f>'4'!I14</f>
        <v>3000000</v>
      </c>
    </row>
    <row r="53" spans="1:15" ht="15.75" x14ac:dyDescent="0.25">
      <c r="A53" s="72" t="s">
        <v>142</v>
      </c>
      <c r="B53" s="73">
        <f t="shared" ref="B53:N53" si="4">SUM(B49:B52)</f>
        <v>15774900</v>
      </c>
      <c r="C53" s="73">
        <f t="shared" si="4"/>
        <v>15774900</v>
      </c>
      <c r="D53" s="73">
        <f t="shared" si="4"/>
        <v>15774900</v>
      </c>
      <c r="E53" s="73">
        <f t="shared" si="4"/>
        <v>15774900</v>
      </c>
      <c r="F53" s="73">
        <f t="shared" si="4"/>
        <v>15774900</v>
      </c>
      <c r="G53" s="73">
        <f t="shared" si="4"/>
        <v>22956391</v>
      </c>
      <c r="H53" s="73">
        <f t="shared" si="4"/>
        <v>14104900</v>
      </c>
      <c r="I53" s="73">
        <f t="shared" si="4"/>
        <v>15774900</v>
      </c>
      <c r="J53" s="73">
        <f t="shared" si="4"/>
        <v>21633174</v>
      </c>
      <c r="K53" s="73">
        <f t="shared" si="4"/>
        <v>15774900</v>
      </c>
      <c r="L53" s="73">
        <f t="shared" si="4"/>
        <v>15779128</v>
      </c>
      <c r="M53" s="73">
        <f t="shared" si="4"/>
        <v>15774900</v>
      </c>
      <c r="N53" s="73">
        <f t="shared" si="4"/>
        <v>200668565</v>
      </c>
    </row>
    <row r="56" spans="1:15" x14ac:dyDescent="0.25">
      <c r="A56" s="179" t="s">
        <v>1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</row>
    <row r="57" spans="1:15" x14ac:dyDescent="0.25">
      <c r="A57" s="179" t="s">
        <v>238</v>
      </c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</row>
    <row r="59" spans="1:15" x14ac:dyDescent="0.25">
      <c r="A59" s="189" t="s">
        <v>143</v>
      </c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</row>
    <row r="60" spans="1:15" x14ac:dyDescent="0.25">
      <c r="A60" s="179" t="s">
        <v>261</v>
      </c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</row>
    <row r="62" spans="1:15" x14ac:dyDescent="0.25">
      <c r="A62" s="2" t="s">
        <v>121</v>
      </c>
      <c r="B62" s="2" t="s">
        <v>122</v>
      </c>
      <c r="C62" s="2" t="s">
        <v>123</v>
      </c>
      <c r="D62" s="2" t="s">
        <v>124</v>
      </c>
      <c r="E62" s="2" t="s">
        <v>125</v>
      </c>
      <c r="F62" s="2" t="s">
        <v>126</v>
      </c>
      <c r="G62" s="2" t="s">
        <v>127</v>
      </c>
      <c r="H62" s="2" t="s">
        <v>128</v>
      </c>
      <c r="I62" s="2" t="s">
        <v>129</v>
      </c>
      <c r="J62" s="2" t="s">
        <v>130</v>
      </c>
      <c r="K62" s="2" t="s">
        <v>131</v>
      </c>
      <c r="L62" s="2" t="s">
        <v>132</v>
      </c>
      <c r="M62" s="2" t="s">
        <v>133</v>
      </c>
      <c r="N62" s="2" t="s">
        <v>134</v>
      </c>
    </row>
    <row r="63" spans="1:15" x14ac:dyDescent="0.25">
      <c r="A63" s="2" t="s">
        <v>135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5" ht="15.75" x14ac:dyDescent="0.25">
      <c r="A64" s="70" t="s">
        <v>136</v>
      </c>
      <c r="B64" s="50">
        <v>31285000</v>
      </c>
      <c r="C64" s="50">
        <v>31285000</v>
      </c>
      <c r="D64" s="50">
        <v>31285000</v>
      </c>
      <c r="E64" s="50">
        <v>31285000</v>
      </c>
      <c r="F64" s="50">
        <v>31285000</v>
      </c>
      <c r="G64" s="50">
        <f>31285000+15642500</f>
        <v>46927500</v>
      </c>
      <c r="H64" s="50">
        <v>31285000</v>
      </c>
      <c r="I64" s="50">
        <v>31285000</v>
      </c>
      <c r="J64" s="50">
        <f>31285000+15642500</f>
        <v>46927500</v>
      </c>
      <c r="K64" s="50">
        <v>31285000</v>
      </c>
      <c r="L64" s="50">
        <v>31285000</v>
      </c>
      <c r="M64" s="50">
        <v>31285000</v>
      </c>
      <c r="N64" s="71">
        <f>'2B'!C12</f>
        <v>406705000</v>
      </c>
      <c r="O64" s="148"/>
    </row>
    <row r="65" spans="1:15" ht="15.75" x14ac:dyDescent="0.25">
      <c r="A65" s="70" t="s">
        <v>84</v>
      </c>
      <c r="B65" s="50">
        <f>B64*0.27</f>
        <v>8446950</v>
      </c>
      <c r="C65" s="50">
        <f t="shared" ref="C65:M65" si="5">C64*0.27</f>
        <v>8446950</v>
      </c>
      <c r="D65" s="50">
        <f t="shared" si="5"/>
        <v>8446950</v>
      </c>
      <c r="E65" s="50">
        <f t="shared" si="5"/>
        <v>8446950</v>
      </c>
      <c r="F65" s="50">
        <f t="shared" si="5"/>
        <v>8446950</v>
      </c>
      <c r="G65" s="50">
        <f>G64*0.27-5600000</f>
        <v>7070425</v>
      </c>
      <c r="H65" s="50">
        <f t="shared" si="5"/>
        <v>8446950</v>
      </c>
      <c r="I65" s="50">
        <f t="shared" si="5"/>
        <v>8446950</v>
      </c>
      <c r="J65" s="50">
        <f>J64*0.27-6209950</f>
        <v>6460475</v>
      </c>
      <c r="K65" s="50">
        <f t="shared" si="5"/>
        <v>8446950</v>
      </c>
      <c r="L65" s="50">
        <f t="shared" si="5"/>
        <v>8446950</v>
      </c>
      <c r="M65" s="50">
        <f t="shared" si="5"/>
        <v>8446950</v>
      </c>
      <c r="N65" s="71">
        <f>'2B'!C13</f>
        <v>98000400</v>
      </c>
      <c r="O65" s="148"/>
    </row>
    <row r="66" spans="1:15" ht="15.75" x14ac:dyDescent="0.25">
      <c r="A66" s="70" t="s">
        <v>85</v>
      </c>
      <c r="B66" s="50">
        <v>16105833</v>
      </c>
      <c r="C66" s="50">
        <v>16105833</v>
      </c>
      <c r="D66" s="50">
        <v>16105833</v>
      </c>
      <c r="E66" s="50">
        <v>16105833</v>
      </c>
      <c r="F66" s="50">
        <v>16105833</v>
      </c>
      <c r="G66" s="50">
        <v>16105833</v>
      </c>
      <c r="H66" s="50">
        <v>16105833</v>
      </c>
      <c r="I66" s="50">
        <v>16105833</v>
      </c>
      <c r="J66" s="50">
        <v>16105833</v>
      </c>
      <c r="K66" s="50">
        <v>16105833</v>
      </c>
      <c r="L66" s="50">
        <f>16105833-1323000</f>
        <v>14782833</v>
      </c>
      <c r="M66" s="50">
        <f>16105833+4+1323000</f>
        <v>17428837</v>
      </c>
      <c r="N66" s="71">
        <f>'2B'!C14</f>
        <v>193270000</v>
      </c>
      <c r="O66" s="148"/>
    </row>
    <row r="67" spans="1:15" ht="15.75" x14ac:dyDescent="0.25">
      <c r="A67" s="70" t="s">
        <v>137</v>
      </c>
      <c r="B67" s="50">
        <v>70833</v>
      </c>
      <c r="C67" s="50">
        <v>70833</v>
      </c>
      <c r="D67" s="50">
        <v>70833</v>
      </c>
      <c r="E67" s="50">
        <v>70833</v>
      </c>
      <c r="F67" s="50">
        <v>70833</v>
      </c>
      <c r="G67" s="50">
        <v>70833</v>
      </c>
      <c r="H67" s="50">
        <v>70833</v>
      </c>
      <c r="I67" s="50">
        <v>70833</v>
      </c>
      <c r="J67" s="50">
        <v>70833</v>
      </c>
      <c r="K67" s="50">
        <v>70833</v>
      </c>
      <c r="L67" s="50">
        <v>70833</v>
      </c>
      <c r="M67" s="50">
        <v>70837</v>
      </c>
      <c r="N67" s="71">
        <f>'2B'!C15</f>
        <v>850000</v>
      </c>
      <c r="O67" s="148"/>
    </row>
    <row r="68" spans="1:15" ht="15.75" x14ac:dyDescent="0.25">
      <c r="A68" s="70" t="s">
        <v>138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71">
        <v>0</v>
      </c>
      <c r="O68" s="148"/>
    </row>
    <row r="69" spans="1:15" ht="15.75" x14ac:dyDescent="0.25">
      <c r="A69" s="72" t="s">
        <v>139</v>
      </c>
      <c r="B69" s="73">
        <f t="shared" ref="B69:N69" si="6">SUM(B64:B68)</f>
        <v>55908616</v>
      </c>
      <c r="C69" s="73">
        <f t="shared" si="6"/>
        <v>55908616</v>
      </c>
      <c r="D69" s="73">
        <f t="shared" si="6"/>
        <v>55908616</v>
      </c>
      <c r="E69" s="73">
        <f t="shared" si="6"/>
        <v>55908616</v>
      </c>
      <c r="F69" s="73">
        <f t="shared" si="6"/>
        <v>55908616</v>
      </c>
      <c r="G69" s="73">
        <f t="shared" si="6"/>
        <v>70174591</v>
      </c>
      <c r="H69" s="73">
        <f t="shared" si="6"/>
        <v>55908616</v>
      </c>
      <c r="I69" s="73">
        <f t="shared" si="6"/>
        <v>55908616</v>
      </c>
      <c r="J69" s="73">
        <f t="shared" si="6"/>
        <v>69564641</v>
      </c>
      <c r="K69" s="73">
        <f t="shared" si="6"/>
        <v>55908616</v>
      </c>
      <c r="L69" s="73">
        <f t="shared" si="6"/>
        <v>54585616</v>
      </c>
      <c r="M69" s="73">
        <f t="shared" si="6"/>
        <v>57231624</v>
      </c>
      <c r="N69" s="73">
        <f t="shared" si="6"/>
        <v>698825400</v>
      </c>
      <c r="O69" s="148"/>
    </row>
    <row r="71" spans="1:15" x14ac:dyDescent="0.25">
      <c r="A71" s="2" t="s">
        <v>121</v>
      </c>
      <c r="B71" s="2" t="s">
        <v>122</v>
      </c>
      <c r="C71" s="2" t="s">
        <v>123</v>
      </c>
      <c r="D71" s="2" t="s">
        <v>124</v>
      </c>
      <c r="E71" s="2" t="s">
        <v>125</v>
      </c>
      <c r="F71" s="2" t="s">
        <v>126</v>
      </c>
      <c r="G71" s="2" t="s">
        <v>127</v>
      </c>
      <c r="H71" s="2" t="s">
        <v>128</v>
      </c>
      <c r="I71" s="2" t="s">
        <v>129</v>
      </c>
      <c r="J71" s="2" t="s">
        <v>130</v>
      </c>
      <c r="K71" s="2" t="s">
        <v>131</v>
      </c>
      <c r="L71" s="2" t="s">
        <v>132</v>
      </c>
      <c r="M71" s="2" t="s">
        <v>133</v>
      </c>
      <c r="N71" s="2" t="s">
        <v>134</v>
      </c>
    </row>
    <row r="72" spans="1:15" x14ac:dyDescent="0.25">
      <c r="A72" s="2" t="s">
        <v>140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</row>
    <row r="73" spans="1:15" ht="15.75" x14ac:dyDescent="0.25">
      <c r="A73" s="70" t="s">
        <v>217</v>
      </c>
      <c r="B73" s="50">
        <v>22819197</v>
      </c>
      <c r="C73" s="50">
        <v>22819197</v>
      </c>
      <c r="D73" s="50">
        <v>22819197</v>
      </c>
      <c r="E73" s="50">
        <v>22819197</v>
      </c>
      <c r="F73" s="50">
        <v>22819197</v>
      </c>
      <c r="G73" s="50">
        <v>22819197</v>
      </c>
      <c r="H73" s="50">
        <v>22819197</v>
      </c>
      <c r="I73" s="50">
        <v>22819197</v>
      </c>
      <c r="J73" s="50">
        <v>22819197</v>
      </c>
      <c r="K73" s="50">
        <v>22819197</v>
      </c>
      <c r="L73" s="50">
        <v>22819197</v>
      </c>
      <c r="M73" s="50">
        <f>22819197+4</f>
        <v>22819201</v>
      </c>
      <c r="N73" s="71">
        <f>'2B'!C22</f>
        <v>273830368</v>
      </c>
    </row>
    <row r="74" spans="1:15" ht="15.75" x14ac:dyDescent="0.25">
      <c r="A74" s="70" t="s">
        <v>62</v>
      </c>
      <c r="B74" s="50">
        <v>21746382</v>
      </c>
      <c r="C74" s="50">
        <v>21746382</v>
      </c>
      <c r="D74" s="50">
        <v>21746382</v>
      </c>
      <c r="E74" s="50">
        <v>21746382</v>
      </c>
      <c r="F74" s="50">
        <v>21746382</v>
      </c>
      <c r="G74" s="50">
        <f>21746382+10873191</f>
        <v>32619573</v>
      </c>
      <c r="H74" s="50">
        <v>21746382</v>
      </c>
      <c r="I74" s="50">
        <v>21746382</v>
      </c>
      <c r="J74" s="50">
        <f>21746382+10873198</f>
        <v>32619580</v>
      </c>
      <c r="K74" s="50">
        <v>21746382</v>
      </c>
      <c r="L74" s="50">
        <v>21746382</v>
      </c>
      <c r="M74" s="50">
        <v>21746382</v>
      </c>
      <c r="N74" s="71">
        <f>'4'!C13</f>
        <v>282702973</v>
      </c>
    </row>
    <row r="75" spans="1:15" ht="15.75" x14ac:dyDescent="0.25">
      <c r="A75" s="70" t="s">
        <v>141</v>
      </c>
      <c r="B75" s="50">
        <v>6954000</v>
      </c>
      <c r="C75" s="50">
        <v>6954000</v>
      </c>
      <c r="D75" s="50">
        <v>12665000</v>
      </c>
      <c r="E75" s="50">
        <v>6954000</v>
      </c>
      <c r="F75" s="50">
        <v>6954000</v>
      </c>
      <c r="G75" s="50">
        <v>12665000</v>
      </c>
      <c r="H75" s="50">
        <v>6954000</v>
      </c>
      <c r="I75" s="50">
        <v>6954000</v>
      </c>
      <c r="J75" s="50">
        <v>12665000</v>
      </c>
      <c r="K75" s="50">
        <v>6954000</v>
      </c>
      <c r="L75" s="50">
        <v>6954000</v>
      </c>
      <c r="M75" s="50">
        <f>12665000+59</f>
        <v>12665059</v>
      </c>
      <c r="N75" s="71">
        <f>'4'!D13+'4'!G13+'4'!H13</f>
        <v>106292059</v>
      </c>
    </row>
    <row r="76" spans="1:15" ht="15.75" x14ac:dyDescent="0.25">
      <c r="A76" s="70" t="s">
        <v>50</v>
      </c>
      <c r="B76" s="50">
        <v>4400000</v>
      </c>
      <c r="C76" s="50">
        <v>4400000</v>
      </c>
      <c r="D76" s="50">
        <v>1350000</v>
      </c>
      <c r="E76" s="50">
        <v>1700000</v>
      </c>
      <c r="F76" s="50">
        <v>4385000</v>
      </c>
      <c r="G76" s="50">
        <v>2100000</v>
      </c>
      <c r="H76" s="50">
        <v>4400000</v>
      </c>
      <c r="I76" s="50">
        <v>4400000</v>
      </c>
      <c r="J76" s="50">
        <v>1500000</v>
      </c>
      <c r="K76" s="50">
        <v>4300000</v>
      </c>
      <c r="L76" s="50">
        <f>4400000-1335000</f>
        <v>3065000</v>
      </c>
      <c r="M76" s="50">
        <v>0</v>
      </c>
      <c r="N76" s="71">
        <f>'4'!I13</f>
        <v>36000000</v>
      </c>
      <c r="O76" s="148"/>
    </row>
    <row r="77" spans="1:15" ht="15.75" x14ac:dyDescent="0.25">
      <c r="A77" s="72" t="s">
        <v>142</v>
      </c>
      <c r="B77" s="73">
        <f t="shared" ref="B77:N77" si="7">SUM(B73:B76)</f>
        <v>55919579</v>
      </c>
      <c r="C77" s="73">
        <f t="shared" si="7"/>
        <v>55919579</v>
      </c>
      <c r="D77" s="73">
        <f t="shared" si="7"/>
        <v>58580579</v>
      </c>
      <c r="E77" s="73">
        <f t="shared" si="7"/>
        <v>53219579</v>
      </c>
      <c r="F77" s="73">
        <f t="shared" si="7"/>
        <v>55904579</v>
      </c>
      <c r="G77" s="73">
        <f t="shared" si="7"/>
        <v>70203770</v>
      </c>
      <c r="H77" s="73">
        <f t="shared" si="7"/>
        <v>55919579</v>
      </c>
      <c r="I77" s="73">
        <f t="shared" si="7"/>
        <v>55919579</v>
      </c>
      <c r="J77" s="73">
        <f t="shared" si="7"/>
        <v>69603777</v>
      </c>
      <c r="K77" s="73">
        <f t="shared" si="7"/>
        <v>55819579</v>
      </c>
      <c r="L77" s="73">
        <f t="shared" si="7"/>
        <v>54584579</v>
      </c>
      <c r="M77" s="73">
        <f t="shared" si="7"/>
        <v>57230642</v>
      </c>
      <c r="N77" s="73">
        <f t="shared" si="7"/>
        <v>698825400</v>
      </c>
      <c r="O77" s="148"/>
    </row>
    <row r="80" spans="1:15" x14ac:dyDescent="0.25">
      <c r="A80" s="190" t="s">
        <v>119</v>
      </c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</row>
    <row r="81" spans="1:1" x14ac:dyDescent="0.25">
      <c r="A81" s="1" t="s">
        <v>237</v>
      </c>
    </row>
  </sheetData>
  <mergeCells count="16">
    <mergeCell ref="A9:N9"/>
    <mergeCell ref="B1:C1"/>
    <mergeCell ref="M1:N1"/>
    <mergeCell ref="A5:N5"/>
    <mergeCell ref="A6:N6"/>
    <mergeCell ref="A8:N8"/>
    <mergeCell ref="A57:N57"/>
    <mergeCell ref="A59:N59"/>
    <mergeCell ref="A60:N60"/>
    <mergeCell ref="A80:N80"/>
    <mergeCell ref="A30:N30"/>
    <mergeCell ref="A32:N32"/>
    <mergeCell ref="A33:N33"/>
    <mergeCell ref="A35:N35"/>
    <mergeCell ref="A36:N36"/>
    <mergeCell ref="A56:N56"/>
  </mergeCells>
  <pageMargins left="0.70826771653543308" right="0.70826771653543308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  <rowBreaks count="1" manualBreakCount="1">
    <brk id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1"/>
  <sheetViews>
    <sheetView tabSelected="1" topLeftCell="A19" workbookViewId="0">
      <selection activeCell="H19" sqref="H19"/>
    </sheetView>
  </sheetViews>
  <sheetFormatPr defaultRowHeight="15" x14ac:dyDescent="0.25"/>
  <cols>
    <col min="1" max="1" width="33.5" style="1" customWidth="1"/>
    <col min="2" max="3" width="13" style="1" customWidth="1"/>
    <col min="4" max="4" width="17" style="1" customWidth="1"/>
    <col min="5" max="1022" width="8.75" style="1" customWidth="1"/>
    <col min="1023" max="1023" width="9" customWidth="1"/>
  </cols>
  <sheetData>
    <row r="1" spans="1:7" ht="15.75" x14ac:dyDescent="0.25">
      <c r="A1" s="74"/>
      <c r="C1" s="179" t="s">
        <v>219</v>
      </c>
      <c r="D1" s="179"/>
    </row>
    <row r="2" spans="1:7" ht="15.75" x14ac:dyDescent="0.25">
      <c r="A2" s="75"/>
    </row>
    <row r="3" spans="1:7" ht="15.75" x14ac:dyDescent="0.25">
      <c r="A3" s="181" t="s">
        <v>8</v>
      </c>
      <c r="B3" s="181"/>
      <c r="C3" s="181"/>
      <c r="D3" s="181"/>
    </row>
    <row r="4" spans="1:7" ht="15.75" x14ac:dyDescent="0.25">
      <c r="A4" s="181" t="s">
        <v>144</v>
      </c>
      <c r="B4" s="181"/>
      <c r="C4" s="181"/>
      <c r="D4" s="181"/>
    </row>
    <row r="5" spans="1:7" ht="15.75" x14ac:dyDescent="0.25">
      <c r="A5" s="181" t="s">
        <v>254</v>
      </c>
      <c r="B5" s="181"/>
      <c r="C5" s="181"/>
      <c r="D5" s="181"/>
      <c r="G5"/>
    </row>
    <row r="6" spans="1:7" ht="15.75" x14ac:dyDescent="0.25">
      <c r="A6" s="76"/>
      <c r="G6"/>
    </row>
    <row r="7" spans="1:7" ht="15.75" customHeight="1" x14ac:dyDescent="0.25">
      <c r="A7" s="191" t="s">
        <v>145</v>
      </c>
      <c r="B7" s="191"/>
      <c r="C7" s="191"/>
      <c r="D7" s="191"/>
    </row>
    <row r="8" spans="1:7" x14ac:dyDescent="0.25">
      <c r="A8" s="77"/>
      <c r="G8"/>
    </row>
    <row r="9" spans="1:7" ht="16.5" thickBot="1" x14ac:dyDescent="0.3">
      <c r="B9" s="78" t="s">
        <v>146</v>
      </c>
      <c r="C9" s="131"/>
      <c r="D9" s="4"/>
    </row>
    <row r="10" spans="1:7" ht="33" customHeight="1" thickTop="1" x14ac:dyDescent="0.25">
      <c r="A10" s="79" t="s">
        <v>6</v>
      </c>
      <c r="B10" s="80" t="s">
        <v>218</v>
      </c>
      <c r="C10" s="80" t="s">
        <v>253</v>
      </c>
      <c r="D10" s="79" t="s">
        <v>147</v>
      </c>
    </row>
    <row r="11" spans="1:7" ht="15.75" x14ac:dyDescent="0.25">
      <c r="A11" s="81" t="s">
        <v>148</v>
      </c>
      <c r="B11" s="82" t="s">
        <v>149</v>
      </c>
      <c r="C11" s="82" t="s">
        <v>149</v>
      </c>
      <c r="D11" s="83"/>
    </row>
    <row r="12" spans="1:7" ht="16.5" customHeight="1" thickBot="1" x14ac:dyDescent="0.3">
      <c r="A12" s="84"/>
      <c r="B12" s="85" t="s">
        <v>150</v>
      </c>
      <c r="C12" s="85" t="s">
        <v>150</v>
      </c>
      <c r="D12" s="83"/>
    </row>
    <row r="13" spans="1:7" ht="47.25" customHeight="1" thickTop="1" x14ac:dyDescent="0.25">
      <c r="A13" s="152" t="s">
        <v>226</v>
      </c>
      <c r="B13" s="87">
        <f>SUM(B14:B16)</f>
        <v>43</v>
      </c>
      <c r="C13" s="87">
        <f>SUM(C14:C16)</f>
        <v>46</v>
      </c>
      <c r="D13" s="88">
        <v>0</v>
      </c>
    </row>
    <row r="14" spans="1:7" ht="19.5" customHeight="1" x14ac:dyDescent="0.25">
      <c r="A14" s="89" t="s">
        <v>151</v>
      </c>
      <c r="B14" s="90">
        <v>8</v>
      </c>
      <c r="C14" s="90">
        <v>8</v>
      </c>
      <c r="D14" s="91">
        <v>0</v>
      </c>
    </row>
    <row r="15" spans="1:7" ht="21.75" customHeight="1" x14ac:dyDescent="0.25">
      <c r="A15" s="89" t="s">
        <v>266</v>
      </c>
      <c r="B15" s="90">
        <v>16</v>
      </c>
      <c r="C15" s="90">
        <v>21</v>
      </c>
      <c r="D15" s="91">
        <v>0</v>
      </c>
    </row>
    <row r="16" spans="1:7" ht="42.75" customHeight="1" x14ac:dyDescent="0.25">
      <c r="A16" s="89" t="s">
        <v>267</v>
      </c>
      <c r="B16" s="90">
        <v>19</v>
      </c>
      <c r="C16" s="90">
        <v>17</v>
      </c>
      <c r="D16" s="91">
        <v>0</v>
      </c>
    </row>
    <row r="17" spans="1:4" ht="37.5" customHeight="1" x14ac:dyDescent="0.25">
      <c r="A17" s="86" t="s">
        <v>118</v>
      </c>
      <c r="B17" s="87">
        <f>SUM(B18:B27)</f>
        <v>141</v>
      </c>
      <c r="C17" s="174">
        <f>SUM(C18:C27)</f>
        <v>146</v>
      </c>
      <c r="D17" s="88">
        <f>SUM(D18:D27)</f>
        <v>0</v>
      </c>
    </row>
    <row r="18" spans="1:4" ht="33.75" customHeight="1" x14ac:dyDescent="0.25">
      <c r="A18" s="89" t="s">
        <v>152</v>
      </c>
      <c r="B18" s="90">
        <v>43</v>
      </c>
      <c r="C18" s="175">
        <v>47</v>
      </c>
      <c r="D18" s="91">
        <v>0</v>
      </c>
    </row>
    <row r="19" spans="1:4" ht="21" customHeight="1" x14ac:dyDescent="0.25">
      <c r="A19" s="89" t="s">
        <v>268</v>
      </c>
      <c r="B19" s="90">
        <v>28</v>
      </c>
      <c r="C19" s="175">
        <v>29</v>
      </c>
      <c r="D19" s="91">
        <v>0</v>
      </c>
    </row>
    <row r="20" spans="1:4" ht="19.5" customHeight="1" x14ac:dyDescent="0.25">
      <c r="A20" s="89" t="s">
        <v>190</v>
      </c>
      <c r="B20" s="90">
        <v>6</v>
      </c>
      <c r="C20" s="175">
        <v>7</v>
      </c>
      <c r="D20" s="91">
        <v>0</v>
      </c>
    </row>
    <row r="21" spans="1:4" ht="18" customHeight="1" x14ac:dyDescent="0.25">
      <c r="A21" s="89" t="s">
        <v>269</v>
      </c>
      <c r="B21" s="90">
        <v>16</v>
      </c>
      <c r="C21" s="175">
        <v>15</v>
      </c>
      <c r="D21" s="91">
        <v>0</v>
      </c>
    </row>
    <row r="22" spans="1:4" ht="18" customHeight="1" x14ac:dyDescent="0.25">
      <c r="A22" s="89" t="s">
        <v>270</v>
      </c>
      <c r="B22" s="90">
        <v>7</v>
      </c>
      <c r="C22" s="175">
        <v>6</v>
      </c>
      <c r="D22" s="91">
        <v>0</v>
      </c>
    </row>
    <row r="23" spans="1:4" ht="16.5" customHeight="1" x14ac:dyDescent="0.25">
      <c r="A23" s="89" t="s">
        <v>153</v>
      </c>
      <c r="B23" s="90">
        <v>2</v>
      </c>
      <c r="C23" s="175">
        <v>2</v>
      </c>
      <c r="D23" s="91">
        <v>0</v>
      </c>
    </row>
    <row r="24" spans="1:4" ht="18.75" customHeight="1" x14ac:dyDescent="0.25">
      <c r="A24" s="89" t="s">
        <v>154</v>
      </c>
      <c r="B24" s="90">
        <v>4</v>
      </c>
      <c r="C24" s="175">
        <v>1</v>
      </c>
      <c r="D24" s="91">
        <v>0</v>
      </c>
    </row>
    <row r="25" spans="1:4" ht="18" customHeight="1" x14ac:dyDescent="0.25">
      <c r="A25" s="89" t="s">
        <v>155</v>
      </c>
      <c r="B25" s="90">
        <v>30</v>
      </c>
      <c r="C25" s="175">
        <v>34</v>
      </c>
      <c r="D25" s="91">
        <v>0</v>
      </c>
    </row>
    <row r="26" spans="1:4" ht="18.75" customHeight="1" x14ac:dyDescent="0.25">
      <c r="A26" s="89" t="s">
        <v>156</v>
      </c>
      <c r="B26" s="90">
        <v>1</v>
      </c>
      <c r="C26" s="175">
        <v>1</v>
      </c>
      <c r="D26" s="91">
        <v>0</v>
      </c>
    </row>
    <row r="27" spans="1:4" ht="18" customHeight="1" x14ac:dyDescent="0.25">
      <c r="A27" s="89" t="s">
        <v>157</v>
      </c>
      <c r="B27" s="132">
        <v>4</v>
      </c>
      <c r="C27" s="175">
        <v>4</v>
      </c>
      <c r="D27" s="91">
        <v>0</v>
      </c>
    </row>
    <row r="28" spans="1:4" ht="17.25" customHeight="1" x14ac:dyDescent="0.25">
      <c r="A28" s="86" t="s">
        <v>8</v>
      </c>
      <c r="B28" s="176">
        <v>0</v>
      </c>
      <c r="C28" s="173">
        <v>0</v>
      </c>
      <c r="D28" s="92">
        <v>0</v>
      </c>
    </row>
    <row r="29" spans="1:4" ht="21.75" customHeight="1" x14ac:dyDescent="0.25">
      <c r="A29" s="86" t="s">
        <v>109</v>
      </c>
      <c r="B29" s="87">
        <f>SUM(B13+B17+B28)</f>
        <v>184</v>
      </c>
      <c r="C29" s="87">
        <f>SUM(C13+C17+C28)</f>
        <v>192</v>
      </c>
      <c r="D29" s="88">
        <f>SUM(D13+D17+D28)</f>
        <v>0</v>
      </c>
    </row>
    <row r="31" spans="1:4" x14ac:dyDescent="0.25">
      <c r="A31" s="1" t="s">
        <v>237</v>
      </c>
    </row>
  </sheetData>
  <mergeCells count="5">
    <mergeCell ref="A3:D3"/>
    <mergeCell ref="A4:D4"/>
    <mergeCell ref="A5:D5"/>
    <mergeCell ref="A7:D7"/>
    <mergeCell ref="C1:D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topLeftCell="A7" workbookViewId="0">
      <selection activeCell="E30" sqref="E30"/>
    </sheetView>
  </sheetViews>
  <sheetFormatPr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5" width="17.625" style="1" customWidth="1"/>
    <col min="6" max="1024" width="8.75" style="1" customWidth="1"/>
    <col min="1025" max="1025" width="9" customWidth="1"/>
  </cols>
  <sheetData>
    <row r="1" spans="1:1024" ht="15.75" x14ac:dyDescent="0.25">
      <c r="A1" s="109"/>
      <c r="B1" s="192" t="s">
        <v>220</v>
      </c>
      <c r="C1" s="192"/>
      <c r="D1" s="192"/>
      <c r="E1" s="192"/>
    </row>
    <row r="2" spans="1:1024" ht="15.75" x14ac:dyDescent="0.25">
      <c r="A2" s="193" t="s">
        <v>8</v>
      </c>
      <c r="B2" s="193"/>
      <c r="C2" s="193"/>
      <c r="D2" s="193"/>
      <c r="E2" s="193"/>
    </row>
    <row r="3" spans="1:1024" ht="15.75" x14ac:dyDescent="0.25">
      <c r="A3" s="110"/>
      <c r="B3" s="110"/>
      <c r="C3" s="110"/>
      <c r="D3" s="109"/>
      <c r="E3" s="109"/>
    </row>
    <row r="4" spans="1:1024" ht="15.75" x14ac:dyDescent="0.25">
      <c r="A4" s="193" t="s">
        <v>158</v>
      </c>
      <c r="B4" s="193"/>
      <c r="C4" s="193"/>
      <c r="D4" s="193"/>
      <c r="E4" s="193"/>
    </row>
    <row r="5" spans="1:1024" ht="15.75" x14ac:dyDescent="0.25">
      <c r="A5" s="109"/>
      <c r="B5" s="109"/>
      <c r="C5" s="109"/>
      <c r="D5" s="109"/>
      <c r="E5" s="109"/>
    </row>
    <row r="6" spans="1:1024" ht="15.75" x14ac:dyDescent="0.25">
      <c r="A6" s="193" t="s">
        <v>10</v>
      </c>
      <c r="B6" s="193"/>
      <c r="C6" s="193"/>
      <c r="D6" s="109"/>
      <c r="E6" s="109"/>
    </row>
    <row r="7" spans="1:1024" ht="15.75" x14ac:dyDescent="0.25">
      <c r="A7" s="75" t="s">
        <v>197</v>
      </c>
      <c r="B7" s="109"/>
      <c r="C7" s="109"/>
      <c r="D7" s="109"/>
      <c r="E7" s="109"/>
    </row>
    <row r="8" spans="1:1024" s="42" customFormat="1" ht="47.25" x14ac:dyDescent="0.25">
      <c r="A8" s="111" t="s">
        <v>100</v>
      </c>
      <c r="B8" s="112" t="s">
        <v>201</v>
      </c>
      <c r="C8" s="113" t="s">
        <v>262</v>
      </c>
      <c r="D8" s="75" t="s">
        <v>196</v>
      </c>
      <c r="E8" s="75" t="s">
        <v>195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s="96" customFormat="1" ht="15.75" x14ac:dyDescent="0.25">
      <c r="A9" s="114" t="s">
        <v>178</v>
      </c>
      <c r="B9" s="115" t="s">
        <v>59</v>
      </c>
      <c r="C9" s="116">
        <v>60896</v>
      </c>
      <c r="D9" s="115">
        <v>410</v>
      </c>
      <c r="E9" s="117">
        <f>SUM(D9*C9)</f>
        <v>24967360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s="96" customFormat="1" ht="15.75" x14ac:dyDescent="0.25">
      <c r="A10" s="114" t="s">
        <v>179</v>
      </c>
      <c r="B10" s="115" t="s">
        <v>60</v>
      </c>
      <c r="C10" s="116">
        <v>273000</v>
      </c>
      <c r="D10" s="118">
        <v>153</v>
      </c>
      <c r="E10" s="117">
        <f t="shared" ref="E10:E16" si="0">SUM(D10*C10)</f>
        <v>41769000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s="96" customFormat="1" ht="15.75" x14ac:dyDescent="0.25">
      <c r="A11" s="114" t="s">
        <v>180</v>
      </c>
      <c r="B11" s="115" t="s">
        <v>181</v>
      </c>
      <c r="C11" s="116">
        <v>163500</v>
      </c>
      <c r="D11" s="115">
        <v>45</v>
      </c>
      <c r="E11" s="117">
        <f t="shared" si="0"/>
        <v>7357500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96" customFormat="1" ht="15.75" x14ac:dyDescent="0.25">
      <c r="A12" s="114" t="s">
        <v>182</v>
      </c>
      <c r="B12" s="115" t="s">
        <v>183</v>
      </c>
      <c r="C12" s="116">
        <v>550000</v>
      </c>
      <c r="D12" s="118">
        <v>11</v>
      </c>
      <c r="E12" s="117">
        <f t="shared" si="0"/>
        <v>6050000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96" customFormat="1" ht="15.75" x14ac:dyDescent="0.25">
      <c r="A13" s="114" t="s">
        <v>182</v>
      </c>
      <c r="B13" s="115" t="s">
        <v>184</v>
      </c>
      <c r="C13" s="116">
        <v>220000</v>
      </c>
      <c r="D13" s="115">
        <v>17</v>
      </c>
      <c r="E13" s="117">
        <f t="shared" si="0"/>
        <v>3740000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6" customFormat="1" ht="15.75" x14ac:dyDescent="0.25">
      <c r="A14" s="114" t="s">
        <v>185</v>
      </c>
      <c r="B14" s="115" t="s">
        <v>186</v>
      </c>
      <c r="C14" s="118">
        <v>550000</v>
      </c>
      <c r="D14" s="115">
        <v>21</v>
      </c>
      <c r="E14" s="117">
        <f t="shared" si="0"/>
        <v>11550000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s="96" customFormat="1" ht="15.75" x14ac:dyDescent="0.25">
      <c r="A15" s="119" t="s">
        <v>187</v>
      </c>
      <c r="B15" s="120" t="s">
        <v>188</v>
      </c>
      <c r="C15" s="121">
        <v>247320</v>
      </c>
      <c r="D15" s="120">
        <v>36</v>
      </c>
      <c r="E15" s="117">
        <f t="shared" si="0"/>
        <v>8903520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96" customFormat="1" ht="15.75" x14ac:dyDescent="0.25">
      <c r="A16" s="119" t="s">
        <v>189</v>
      </c>
      <c r="B16" s="120" t="s">
        <v>190</v>
      </c>
      <c r="C16" s="121">
        <v>515185</v>
      </c>
      <c r="D16" s="120">
        <v>38</v>
      </c>
      <c r="E16" s="117">
        <f t="shared" si="0"/>
        <v>19577030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s="96" customFormat="1" ht="15.75" x14ac:dyDescent="0.25">
      <c r="A17" s="119" t="s">
        <v>191</v>
      </c>
      <c r="B17" s="120" t="s">
        <v>192</v>
      </c>
      <c r="C17" s="121">
        <v>2606040</v>
      </c>
      <c r="D17" s="120" t="s">
        <v>263</v>
      </c>
      <c r="E17" s="122">
        <v>82888885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96" customFormat="1" ht="15.75" x14ac:dyDescent="0.25">
      <c r="A18" s="115" t="s">
        <v>193</v>
      </c>
      <c r="B18" s="115" t="s">
        <v>194</v>
      </c>
      <c r="C18" s="118"/>
      <c r="D18" s="115"/>
      <c r="E18" s="118">
        <v>33582000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96" customFormat="1" ht="15.75" x14ac:dyDescent="0.25">
      <c r="A19" s="111"/>
      <c r="B19" s="112" t="s">
        <v>74</v>
      </c>
      <c r="C19" s="113"/>
      <c r="D19" s="109"/>
      <c r="E19" s="126">
        <f>SUM(E9:E18)</f>
        <v>240385295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x14ac:dyDescent="0.25">
      <c r="A20"/>
      <c r="B20" s="93"/>
      <c r="C20" s="94"/>
    </row>
    <row r="21" spans="1:1024" ht="15.75" x14ac:dyDescent="0.25">
      <c r="A21" s="194" t="s">
        <v>226</v>
      </c>
      <c r="B21" s="194"/>
      <c r="C21" s="194"/>
      <c r="D21" s="109"/>
      <c r="E21" s="109"/>
    </row>
    <row r="22" spans="1:1024" s="96" customFormat="1" ht="47.25" x14ac:dyDescent="0.25">
      <c r="A22" s="111" t="s">
        <v>100</v>
      </c>
      <c r="B22" s="112" t="s">
        <v>201</v>
      </c>
      <c r="C22" s="113" t="s">
        <v>262</v>
      </c>
      <c r="D22" s="75" t="s">
        <v>196</v>
      </c>
      <c r="E22" s="75" t="s">
        <v>195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s="96" customFormat="1" ht="15.75" x14ac:dyDescent="0.25">
      <c r="A23" s="114" t="s">
        <v>198</v>
      </c>
      <c r="B23" s="115" t="s">
        <v>221</v>
      </c>
      <c r="C23" s="116" t="s">
        <v>222</v>
      </c>
      <c r="D23" s="115">
        <v>15.6</v>
      </c>
      <c r="E23" s="117">
        <v>46800000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96" customFormat="1" ht="15.75" x14ac:dyDescent="0.25">
      <c r="A24" s="114" t="s">
        <v>223</v>
      </c>
      <c r="B24" s="115" t="s">
        <v>224</v>
      </c>
      <c r="C24" s="116" t="s">
        <v>222</v>
      </c>
      <c r="D24" s="149">
        <v>10.8</v>
      </c>
      <c r="E24" s="117">
        <v>32400000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96" customFormat="1" ht="15.75" x14ac:dyDescent="0.25">
      <c r="A25" s="114" t="s">
        <v>199</v>
      </c>
      <c r="B25" s="115" t="s">
        <v>200</v>
      </c>
      <c r="C25" s="123"/>
      <c r="D25" s="123" t="s">
        <v>225</v>
      </c>
      <c r="E25" s="117">
        <v>5716475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ht="15.75" x14ac:dyDescent="0.25">
      <c r="A26" s="127"/>
      <c r="B26" s="129" t="s">
        <v>109</v>
      </c>
      <c r="C26" s="127"/>
      <c r="D26" s="127"/>
      <c r="E26" s="128">
        <f>SUM(E23:E25)</f>
        <v>84916475</v>
      </c>
    </row>
    <row r="27" spans="1:1024" s="96" customFormat="1" ht="15.75" x14ac:dyDescent="0.25">
      <c r="A27" s="124"/>
      <c r="B27" s="130"/>
      <c r="C27" s="124"/>
      <c r="D27" s="124"/>
      <c r="E27" s="12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96" customFormat="1" ht="15.75" x14ac:dyDescent="0.25">
      <c r="A28" s="124"/>
      <c r="B28" s="130" t="s">
        <v>202</v>
      </c>
      <c r="C28" s="124"/>
      <c r="D28" s="124"/>
      <c r="E28" s="125">
        <f>E19+E26</f>
        <v>325301770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96" customFormat="1" ht="15.75" x14ac:dyDescent="0.25">
      <c r="A29" s="124"/>
      <c r="B29" s="124"/>
      <c r="C29" s="124"/>
      <c r="D29" s="124"/>
      <c r="E29" s="12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25">
      <c r="A30" s="1" t="s">
        <v>237</v>
      </c>
    </row>
  </sheetData>
  <mergeCells count="5">
    <mergeCell ref="B1:E1"/>
    <mergeCell ref="A6:C6"/>
    <mergeCell ref="A21:C21"/>
    <mergeCell ref="A2:E2"/>
    <mergeCell ref="A4:E4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1_</vt:lpstr>
      <vt:lpstr>2A</vt:lpstr>
      <vt:lpstr>2B</vt:lpstr>
      <vt:lpstr>2C</vt:lpstr>
      <vt:lpstr>2D</vt:lpstr>
      <vt:lpstr>5</vt:lpstr>
      <vt:lpstr>3</vt:lpstr>
      <vt:lpstr>4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2017-02-08T17:08:54Z</cp:lastPrinted>
  <dcterms:created xsi:type="dcterms:W3CDTF">2013-02-08T06:54:51Z</dcterms:created>
  <dcterms:modified xsi:type="dcterms:W3CDTF">2017-02-09T16:58:02Z</dcterms:modified>
</cp:coreProperties>
</file>