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155" windowWidth="15480" windowHeight="6765" activeTab="1"/>
  </bookViews>
  <sheets>
    <sheet name="címrend" sheetId="1" r:id="rId1"/>
    <sheet name="összevont ktg.mérleg" sheetId="2" r:id="rId2"/>
    <sheet name="KESZI ktg. mérleg" sheetId="3" r:id="rId3"/>
    <sheet name="KGYCSSZK ktg. mérleg" sheetId="4" r:id="rId4"/>
    <sheet name="társulás ktg. mérleg" sheetId="5" r:id="rId5"/>
    <sheet name="műk. és fel. egyens." sheetId="8" r:id="rId6"/>
    <sheet name="létszám" sheetId="13" r:id="rId7"/>
    <sheet name="állami" sheetId="14" r:id="rId8"/>
    <sheet name="vagyonmérleg" sheetId="15" r:id="rId9"/>
    <sheet name="eredménykimutatás" sheetId="16" r:id="rId10"/>
    <sheet name="maradvány" sheetId="17" r:id="rId11"/>
    <sheet name="kiadások" sheetId="18" r:id="rId12"/>
    <sheet name="bevételek" sheetId="19" r:id="rId13"/>
    <sheet name="pénzeszköz átadások" sheetId="20" r:id="rId14"/>
    <sheet name="befizetések" sheetId="21" r:id="rId15"/>
  </sheets>
  <externalReferences>
    <externalReference r:id="rId16"/>
    <externalReference r:id="rId17"/>
  </externalReferences>
  <calcPr calcId="145621"/>
</workbook>
</file>

<file path=xl/calcChain.xml><?xml version="1.0" encoding="utf-8"?>
<calcChain xmlns="http://schemas.openxmlformats.org/spreadsheetml/2006/main">
  <c r="N31" i="2" l="1"/>
  <c r="M28" i="2"/>
  <c r="L31" i="2"/>
  <c r="L33" i="2"/>
  <c r="E24" i="5"/>
  <c r="E17" i="5"/>
  <c r="J28" i="2"/>
  <c r="E25" i="4"/>
  <c r="L28" i="2" s="1"/>
  <c r="L24" i="2"/>
  <c r="E27" i="4"/>
  <c r="E22" i="4"/>
  <c r="F26" i="3"/>
  <c r="F23" i="3"/>
  <c r="I23" i="3"/>
  <c r="E9" i="21" l="1"/>
  <c r="E8" i="21" l="1"/>
  <c r="E7" i="21" l="1"/>
  <c r="E6" i="21"/>
  <c r="E5" i="21"/>
  <c r="B19" i="20"/>
  <c r="F52" i="3" l="1"/>
  <c r="F44" i="3"/>
  <c r="I17" i="14"/>
  <c r="G44" i="3"/>
  <c r="G52" i="3"/>
  <c r="J35" i="14"/>
  <c r="K33" i="14"/>
  <c r="J33" i="14"/>
  <c r="K28" i="14"/>
  <c r="K27" i="14"/>
  <c r="K26" i="14"/>
  <c r="K25" i="14"/>
  <c r="K30" i="14"/>
  <c r="K29" i="14"/>
  <c r="J21" i="14"/>
  <c r="K18" i="14"/>
  <c r="K17" i="14"/>
  <c r="K16" i="14"/>
  <c r="K15" i="14"/>
  <c r="K14" i="14"/>
  <c r="K13" i="14"/>
  <c r="K12" i="14"/>
  <c r="J17" i="14"/>
  <c r="J18" i="14"/>
  <c r="I33" i="14"/>
  <c r="H30" i="14"/>
  <c r="G20" i="8"/>
  <c r="D20" i="8"/>
  <c r="G19" i="8"/>
  <c r="D19" i="8"/>
  <c r="G53" i="3"/>
  <c r="G46" i="3"/>
  <c r="F36" i="4"/>
  <c r="H27" i="8"/>
  <c r="H26" i="8"/>
  <c r="E19" i="8"/>
  <c r="F44" i="4"/>
  <c r="F53" i="3"/>
  <c r="G45" i="3"/>
  <c r="F45" i="3"/>
  <c r="G47" i="3"/>
  <c r="G54" i="3" l="1"/>
  <c r="G43" i="3" l="1"/>
  <c r="F28" i="8" l="1"/>
  <c r="F27" i="8"/>
  <c r="F26" i="8"/>
  <c r="B28" i="8"/>
  <c r="B27" i="8"/>
  <c r="B26" i="8"/>
  <c r="B21" i="8"/>
  <c r="B20" i="8"/>
  <c r="B19" i="8"/>
  <c r="D11" i="8"/>
  <c r="O13" i="2"/>
  <c r="G13" i="8"/>
  <c r="G12" i="8"/>
  <c r="G11" i="8"/>
  <c r="F13" i="8"/>
  <c r="E13" i="8"/>
  <c r="E12" i="8"/>
  <c r="E11" i="8"/>
  <c r="D13" i="8"/>
  <c r="D12" i="8"/>
  <c r="C13" i="8"/>
  <c r="C12" i="8"/>
  <c r="C11" i="8"/>
  <c r="B13" i="8"/>
  <c r="B12" i="8"/>
  <c r="B11" i="8"/>
  <c r="I11" i="14"/>
  <c r="K11" i="14" s="1"/>
  <c r="I10" i="14"/>
  <c r="K10" i="14" s="1"/>
  <c r="I9" i="14"/>
  <c r="O33" i="2"/>
  <c r="P33" i="2"/>
  <c r="Q33" i="2"/>
  <c r="Q31" i="2"/>
  <c r="Q32" i="2"/>
  <c r="P32" i="2"/>
  <c r="O29" i="2"/>
  <c r="Q25" i="2"/>
  <c r="Q26" i="2"/>
  <c r="Q27" i="2"/>
  <c r="Q28" i="2"/>
  <c r="Q29" i="2"/>
  <c r="Q30" i="2"/>
  <c r="Q24" i="2"/>
  <c r="P28" i="2"/>
  <c r="P24" i="2"/>
  <c r="O28" i="2"/>
  <c r="O24" i="2"/>
  <c r="O32" i="2"/>
  <c r="O30" i="2"/>
  <c r="O26" i="2"/>
  <c r="Q12" i="2"/>
  <c r="Q13" i="2"/>
  <c r="Q14" i="2"/>
  <c r="Q15" i="2"/>
  <c r="Q16" i="2"/>
  <c r="Q17" i="2"/>
  <c r="Q18" i="2"/>
  <c r="Q19" i="2"/>
  <c r="Q11" i="2"/>
  <c r="P18" i="2"/>
  <c r="P17" i="2"/>
  <c r="P14" i="2"/>
  <c r="P13" i="2"/>
  <c r="P12" i="2"/>
  <c r="P11" i="2"/>
  <c r="O21" i="2"/>
  <c r="O17" i="2"/>
  <c r="O18" i="2"/>
  <c r="O15" i="2"/>
  <c r="O14" i="2"/>
  <c r="O12" i="2"/>
  <c r="O11" i="2"/>
  <c r="G33" i="3"/>
  <c r="G30" i="3"/>
  <c r="G21" i="3"/>
  <c r="G19" i="3"/>
  <c r="F29" i="4"/>
  <c r="F31" i="4" s="1"/>
  <c r="F19" i="4"/>
  <c r="F32" i="5"/>
  <c r="F34" i="5" s="1"/>
  <c r="I21" i="14" l="1"/>
  <c r="I35" i="14" s="1"/>
  <c r="K9" i="14"/>
  <c r="K21" i="14" s="1"/>
  <c r="K35" i="14" s="1"/>
  <c r="P31" i="2"/>
  <c r="O31" i="2"/>
  <c r="F20" i="4"/>
  <c r="F22" i="5"/>
  <c r="F20" i="5"/>
  <c r="P20" i="2" l="1"/>
  <c r="P22" i="2" s="1"/>
  <c r="I19" i="8"/>
  <c r="Q20" i="2" l="1"/>
  <c r="Q22" i="2" s="1"/>
  <c r="O20" i="2"/>
  <c r="O22" i="2" s="1"/>
  <c r="H20" i="14"/>
  <c r="H19" i="14"/>
  <c r="H18" i="14"/>
  <c r="H17" i="14"/>
  <c r="H16" i="14"/>
  <c r="H15" i="14"/>
  <c r="H11" i="14"/>
  <c r="H10" i="14"/>
  <c r="G10" i="14"/>
  <c r="H9" i="14"/>
  <c r="G9" i="14"/>
  <c r="G14" i="14"/>
  <c r="G16" i="14"/>
  <c r="E21" i="8"/>
  <c r="I28" i="8"/>
  <c r="H20" i="8"/>
  <c r="H19" i="8"/>
  <c r="C28" i="8"/>
  <c r="N30" i="2"/>
  <c r="N27" i="2"/>
  <c r="N26" i="2"/>
  <c r="N25" i="2"/>
  <c r="M24" i="2"/>
  <c r="N19" i="2"/>
  <c r="N16" i="2"/>
  <c r="M14" i="2"/>
  <c r="M13" i="2"/>
  <c r="M12" i="2"/>
  <c r="M11" i="2"/>
  <c r="L17" i="2"/>
  <c r="N17" i="2" s="1"/>
  <c r="E20" i="5"/>
  <c r="E22" i="5" s="1"/>
  <c r="E28" i="5"/>
  <c r="L32" i="2"/>
  <c r="N32" i="2" s="1"/>
  <c r="L21" i="2"/>
  <c r="L15" i="2"/>
  <c r="N15" i="2" s="1"/>
  <c r="L14" i="2"/>
  <c r="L13" i="2"/>
  <c r="L12" i="2"/>
  <c r="L11" i="2"/>
  <c r="E32" i="5"/>
  <c r="E34" i="5" s="1"/>
  <c r="E15" i="5"/>
  <c r="E39" i="4"/>
  <c r="E17" i="4"/>
  <c r="M18" i="2" s="1"/>
  <c r="H21" i="14" l="1"/>
  <c r="N13" i="2"/>
  <c r="E29" i="4"/>
  <c r="E31" i="4" s="1"/>
  <c r="E19" i="4"/>
  <c r="E20" i="4" s="1"/>
  <c r="L18" i="2"/>
  <c r="N18" i="2" s="1"/>
  <c r="N14" i="2"/>
  <c r="N24" i="2"/>
  <c r="N12" i="2"/>
  <c r="M20" i="2"/>
  <c r="M22" i="2" s="1"/>
  <c r="M31" i="2"/>
  <c r="M33" i="2" s="1"/>
  <c r="N11" i="2"/>
  <c r="N28" i="2"/>
  <c r="N20" i="2" l="1"/>
  <c r="N22" i="2" s="1"/>
  <c r="N33" i="2"/>
  <c r="L20" i="2"/>
  <c r="L22" i="2" s="1"/>
  <c r="F54" i="3"/>
  <c r="E45" i="3"/>
  <c r="F30" i="3" l="1"/>
  <c r="F33" i="3" s="1"/>
  <c r="F21" i="3"/>
  <c r="F19" i="3"/>
  <c r="F17" i="3"/>
  <c r="G18" i="14" l="1"/>
  <c r="I28" i="2" l="1"/>
  <c r="K28" i="2"/>
  <c r="K31" i="2" s="1"/>
  <c r="K33" i="2" s="1"/>
  <c r="I32" i="2"/>
  <c r="J32" i="2" s="1"/>
  <c r="I24" i="2"/>
  <c r="J24" i="2" s="1"/>
  <c r="I25" i="2"/>
  <c r="J25" i="2" s="1"/>
  <c r="I26" i="2"/>
  <c r="J26" i="2" s="1"/>
  <c r="J27" i="2"/>
  <c r="I30" i="2"/>
  <c r="J30" i="2" s="1"/>
  <c r="G33" i="14"/>
  <c r="I12" i="2"/>
  <c r="J12" i="2" s="1"/>
  <c r="I13" i="2"/>
  <c r="J13" i="2" s="1"/>
  <c r="J14" i="2"/>
  <c r="J15" i="2"/>
  <c r="J18" i="2"/>
  <c r="J19" i="2"/>
  <c r="I11" i="2"/>
  <c r="J21" i="2"/>
  <c r="K20" i="2"/>
  <c r="K22" i="2" s="1"/>
  <c r="E52" i="3"/>
  <c r="E51" i="3"/>
  <c r="E50" i="3"/>
  <c r="E49" i="3"/>
  <c r="E30" i="3"/>
  <c r="E33" i="3" s="1"/>
  <c r="E19" i="3"/>
  <c r="E21" i="3" s="1"/>
  <c r="D38" i="4"/>
  <c r="D39" i="4"/>
  <c r="D40" i="4"/>
  <c r="D42" i="4"/>
  <c r="E42" i="4" s="1"/>
  <c r="H32" i="14" s="1"/>
  <c r="D41" i="4"/>
  <c r="E41" i="4" s="1"/>
  <c r="D29" i="4"/>
  <c r="D31" i="4" s="1"/>
  <c r="D19" i="4"/>
  <c r="D20" i="4" s="1"/>
  <c r="D32" i="5"/>
  <c r="D34" i="5" s="1"/>
  <c r="D22" i="5"/>
  <c r="D20" i="5"/>
  <c r="F15" i="2"/>
  <c r="B15" i="5"/>
  <c r="E15" i="2" s="1"/>
  <c r="C15" i="4"/>
  <c r="F14" i="2" s="1"/>
  <c r="B15" i="4"/>
  <c r="C15" i="3"/>
  <c r="F33" i="14"/>
  <c r="F21" i="14"/>
  <c r="D38" i="3"/>
  <c r="D39" i="3"/>
  <c r="D40" i="3"/>
  <c r="D41" i="3"/>
  <c r="D42" i="3"/>
  <c r="E42" i="3" s="1"/>
  <c r="D43" i="3"/>
  <c r="D44" i="3"/>
  <c r="E44" i="3" s="1"/>
  <c r="D47" i="3"/>
  <c r="E47" i="3" s="1"/>
  <c r="I21" i="8"/>
  <c r="I27" i="8"/>
  <c r="I26" i="8"/>
  <c r="H29" i="8"/>
  <c r="G29" i="8"/>
  <c r="C13" i="5"/>
  <c r="H12" i="2" s="1"/>
  <c r="H13" i="8"/>
  <c r="C12" i="5"/>
  <c r="H11" i="2" s="1"/>
  <c r="I20" i="8"/>
  <c r="C37" i="4"/>
  <c r="D37" i="4" s="1"/>
  <c r="C35" i="4"/>
  <c r="C17" i="4"/>
  <c r="C27" i="8"/>
  <c r="E14" i="8"/>
  <c r="D17" i="3"/>
  <c r="F18" i="2" s="1"/>
  <c r="G18" i="2" s="1"/>
  <c r="C26" i="8"/>
  <c r="D48" i="3"/>
  <c r="F21" i="2"/>
  <c r="G21" i="2" s="1"/>
  <c r="E28" i="2"/>
  <c r="E24" i="2"/>
  <c r="B29" i="5"/>
  <c r="B28" i="5"/>
  <c r="B32" i="5" s="1"/>
  <c r="B34" i="5" s="1"/>
  <c r="B25" i="4"/>
  <c r="C26" i="3"/>
  <c r="C31" i="3"/>
  <c r="C32" i="2" s="1"/>
  <c r="C30" i="2"/>
  <c r="D30" i="2" s="1"/>
  <c r="C26" i="2"/>
  <c r="C25" i="2"/>
  <c r="D25" i="2" s="1"/>
  <c r="B22" i="4"/>
  <c r="B24" i="2" s="1"/>
  <c r="C23" i="3"/>
  <c r="H28" i="2"/>
  <c r="C25" i="4"/>
  <c r="C29" i="4" s="1"/>
  <c r="C31" i="4" s="1"/>
  <c r="B14" i="5"/>
  <c r="E13" i="2" s="1"/>
  <c r="B13" i="5"/>
  <c r="E12" i="2" s="1"/>
  <c r="B12" i="5"/>
  <c r="C17" i="3"/>
  <c r="C18" i="2" s="1"/>
  <c r="D18" i="2" s="1"/>
  <c r="B21" i="5"/>
  <c r="B21" i="2" s="1"/>
  <c r="B14" i="4"/>
  <c r="C14" i="3"/>
  <c r="B13" i="4"/>
  <c r="C13" i="3"/>
  <c r="B12" i="4"/>
  <c r="C12" i="3"/>
  <c r="F32" i="2"/>
  <c r="G32" i="2" s="1"/>
  <c r="H30" i="2"/>
  <c r="G30" i="2" s="1"/>
  <c r="F29" i="2"/>
  <c r="G29" i="2" s="1"/>
  <c r="G27" i="2"/>
  <c r="F26" i="2"/>
  <c r="H26" i="2"/>
  <c r="F25" i="2"/>
  <c r="H25" i="2"/>
  <c r="F24" i="2"/>
  <c r="H24" i="2"/>
  <c r="G19" i="2"/>
  <c r="H15" i="2"/>
  <c r="F13" i="2"/>
  <c r="H13" i="2"/>
  <c r="F16" i="2"/>
  <c r="G16" i="2" s="1"/>
  <c r="D46" i="3"/>
  <c r="E46" i="3" s="1"/>
  <c r="B44" i="4"/>
  <c r="B27" i="4"/>
  <c r="B17" i="5"/>
  <c r="D30" i="3"/>
  <c r="D33" i="3" s="1"/>
  <c r="E33" i="14"/>
  <c r="E16" i="14"/>
  <c r="E15" i="14"/>
  <c r="E14" i="14"/>
  <c r="E13" i="14"/>
  <c r="E12" i="14"/>
  <c r="E11" i="14"/>
  <c r="E10" i="14"/>
  <c r="E9" i="14"/>
  <c r="F29" i="8"/>
  <c r="B29" i="8"/>
  <c r="C36" i="4"/>
  <c r="D36" i="4" s="1"/>
  <c r="C46" i="3"/>
  <c r="C48" i="3"/>
  <c r="C47" i="3"/>
  <c r="C44" i="3"/>
  <c r="C43" i="3"/>
  <c r="C41" i="3"/>
  <c r="C42" i="3"/>
  <c r="C40" i="3"/>
  <c r="C39" i="3"/>
  <c r="C38" i="3"/>
  <c r="E21" i="14"/>
  <c r="E35" i="14" s="1"/>
  <c r="C28" i="3"/>
  <c r="B28" i="3"/>
  <c r="B30" i="3" s="1"/>
  <c r="B33" i="3" s="1"/>
  <c r="B26" i="3"/>
  <c r="B14" i="3"/>
  <c r="B19" i="3" s="1"/>
  <c r="B21" i="3" s="1"/>
  <c r="F14" i="8"/>
  <c r="E26" i="2"/>
  <c r="F22" i="8"/>
  <c r="D22" i="8"/>
  <c r="C22" i="8"/>
  <c r="L29" i="2" s="1"/>
  <c r="N29" i="2" s="1"/>
  <c r="C32" i="5"/>
  <c r="C34" i="5"/>
  <c r="B41" i="3"/>
  <c r="B54" i="3"/>
  <c r="D27" i="2"/>
  <c r="D19" i="2"/>
  <c r="B14" i="8"/>
  <c r="E22" i="8"/>
  <c r="C20" i="5"/>
  <c r="C22" i="5" s="1"/>
  <c r="D14" i="8"/>
  <c r="E44" i="4" l="1"/>
  <c r="H31" i="14"/>
  <c r="H33" i="14" s="1"/>
  <c r="H35" i="14" s="1"/>
  <c r="D35" i="4"/>
  <c r="D44" i="4" s="1"/>
  <c r="C44" i="4"/>
  <c r="C19" i="4"/>
  <c r="C20" i="4" s="1"/>
  <c r="D14" i="2"/>
  <c r="F11" i="2"/>
  <c r="B12" i="2"/>
  <c r="I29" i="8"/>
  <c r="C29" i="8"/>
  <c r="B20" i="5"/>
  <c r="B22" i="5" s="1"/>
  <c r="C14" i="8"/>
  <c r="F12" i="2"/>
  <c r="G12" i="2" s="1"/>
  <c r="B13" i="2"/>
  <c r="B29" i="4"/>
  <c r="B31" i="4" s="1"/>
  <c r="C24" i="2"/>
  <c r="B19" i="4"/>
  <c r="B20" i="4" s="1"/>
  <c r="G14" i="8"/>
  <c r="H12" i="8"/>
  <c r="B28" i="2"/>
  <c r="B31" i="2" s="1"/>
  <c r="B33" i="2" s="1"/>
  <c r="C13" i="2"/>
  <c r="D13" i="2" s="1"/>
  <c r="I22" i="8"/>
  <c r="G22" i="8"/>
  <c r="D26" i="2"/>
  <c r="G13" i="2"/>
  <c r="G24" i="2"/>
  <c r="G26" i="2"/>
  <c r="C12" i="2"/>
  <c r="D12" i="2" s="1"/>
  <c r="H11" i="8"/>
  <c r="H20" i="2"/>
  <c r="H22" i="2" s="1"/>
  <c r="D54" i="3"/>
  <c r="D24" i="2"/>
  <c r="G25" i="2"/>
  <c r="E40" i="3"/>
  <c r="C54" i="3"/>
  <c r="G15" i="2"/>
  <c r="H31" i="2"/>
  <c r="H33" i="2" s="1"/>
  <c r="E31" i="2"/>
  <c r="E33" i="2" s="1"/>
  <c r="G11" i="2"/>
  <c r="C11" i="2"/>
  <c r="C19" i="3"/>
  <c r="C21" i="3" s="1"/>
  <c r="I31" i="2"/>
  <c r="B11" i="2"/>
  <c r="F28" i="2"/>
  <c r="F35" i="14"/>
  <c r="I20" i="2"/>
  <c r="J11" i="2"/>
  <c r="C29" i="2"/>
  <c r="D29" i="2" s="1"/>
  <c r="B29" i="2"/>
  <c r="C30" i="3"/>
  <c r="C33" i="3" s="1"/>
  <c r="C21" i="2"/>
  <c r="D21" i="2" s="1"/>
  <c r="E11" i="2"/>
  <c r="E20" i="2" s="1"/>
  <c r="E22" i="2" s="1"/>
  <c r="C28" i="2"/>
  <c r="B22" i="8"/>
  <c r="C14" i="2"/>
  <c r="B15" i="2"/>
  <c r="C15" i="2"/>
  <c r="D15" i="2" s="1"/>
  <c r="E48" i="3"/>
  <c r="D19" i="3"/>
  <c r="D21" i="3" s="1"/>
  <c r="G11" i="14" l="1"/>
  <c r="G21" i="14" s="1"/>
  <c r="G35" i="14" s="1"/>
  <c r="E54" i="3"/>
  <c r="G20" i="2"/>
  <c r="G22" i="2" s="1"/>
  <c r="F20" i="2"/>
  <c r="F22" i="2" s="1"/>
  <c r="H14" i="8"/>
  <c r="D28" i="2"/>
  <c r="C31" i="2"/>
  <c r="J20" i="2"/>
  <c r="I22" i="2"/>
  <c r="J22" i="2" s="1"/>
  <c r="B20" i="2"/>
  <c r="B22" i="2" s="1"/>
  <c r="D11" i="2"/>
  <c r="C20" i="2"/>
  <c r="G28" i="2"/>
  <c r="F31" i="2"/>
  <c r="J31" i="2"/>
  <c r="I33" i="2"/>
  <c r="J33" i="2" s="1"/>
  <c r="C22" i="2" l="1"/>
  <c r="D22" i="2" s="1"/>
  <c r="D20" i="2"/>
  <c r="C33" i="2"/>
  <c r="D33" i="2" s="1"/>
  <c r="D31" i="2"/>
  <c r="F33" i="2"/>
  <c r="G33" i="2" s="1"/>
  <c r="G31" i="2"/>
</calcChain>
</file>

<file path=xl/sharedStrings.xml><?xml version="1.0" encoding="utf-8"?>
<sst xmlns="http://schemas.openxmlformats.org/spreadsheetml/2006/main" count="979" uniqueCount="433">
  <si>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</si>
  <si>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</si>
  <si>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</si>
  <si>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</si>
  <si>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</si>
  <si>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</si>
  <si>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</si>
  <si>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</si>
  <si>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</si>
  <si>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</si>
  <si>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</si>
  <si>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</si>
  <si>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</si>
  <si>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</si>
  <si>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</si>
  <si>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MOSONMAGYARÓVÁRI TÖBBCÉLÚ KISTÉRSÉGI TÁRSULÁS ÉS KÖLTSÉGVETÉSI SZERVEI</t>
  </si>
  <si>
    <t>kötelező</t>
  </si>
  <si>
    <t>önként</t>
  </si>
  <si>
    <t>eredeti</t>
  </si>
  <si>
    <t>Rovatrend</t>
  </si>
  <si>
    <t>előirányzat 2014.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</si>
  <si>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</si>
  <si>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</si>
  <si>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</si>
  <si>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</si>
  <si>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</si>
  <si>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</si>
  <si>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</si>
  <si>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</si>
  <si>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</si>
  <si>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</si>
  <si>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</si>
  <si>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</si>
  <si>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</si>
  <si>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</si>
  <si>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</si>
  <si>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</si>
  <si>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</si>
  <si>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</si>
  <si>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</si>
  <si>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</si>
  <si>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</si>
  <si>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</si>
  <si>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</si>
  <si>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</si>
  <si>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</si>
  <si>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</si>
  <si>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</si>
  <si>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</si>
  <si>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</si>
  <si>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</si>
  <si>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</si>
  <si>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</si>
  <si>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</si>
  <si>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</si>
  <si>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</si>
  <si>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</si>
  <si>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</si>
  <si>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</si>
  <si>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</si>
  <si>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</si>
  <si>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</si>
  <si>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</si>
  <si>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</si>
  <si>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</si>
  <si>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</si>
  <si>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</si>
  <si>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</si>
  <si>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</si>
  <si>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</si>
  <si>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</si>
  <si>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</si>
  <si>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</si>
  <si>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</si>
  <si>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</si>
  <si>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Felügyelet alá tartozó költségvetési szerv. Támogat.</t>
  </si>
  <si>
    <t>K915</t>
  </si>
  <si>
    <t>3. SZÁMÚ MELLÉKLET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</si>
  <si>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</si>
  <si>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</si>
  <si>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</si>
  <si>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</si>
  <si>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</si>
  <si>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</si>
  <si>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</si>
  <si>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</si>
  <si>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</si>
  <si>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</si>
  <si>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</si>
  <si>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>Társulási támogatás</t>
  </si>
  <si>
    <t>Működési kiadások ezer Ft</t>
  </si>
  <si>
    <t>Működési bevételek ezer Ft</t>
  </si>
  <si>
    <t>Jogcím</t>
  </si>
  <si>
    <t xml:space="preserve"> TÁMOP 5.4.9-11/1-2012-0014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</si>
  <si>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</si>
  <si>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</si>
  <si>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</si>
  <si>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</si>
  <si>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adatok: fő-ben</t>
  </si>
  <si>
    <t>(intézmény, szakfeladat, stb.)</t>
  </si>
  <si>
    <t>engedélyezett</t>
  </si>
  <si>
    <t>létszámhely</t>
  </si>
  <si>
    <t xml:space="preserve"> GyÁÓ</t>
  </si>
  <si>
    <t>Gyermekjóléti szolgálat</t>
  </si>
  <si>
    <t>Családsegítő</t>
  </si>
  <si>
    <t>Aranykor, kp.-i irányítás</t>
  </si>
  <si>
    <t>Gondozóház</t>
  </si>
  <si>
    <t>ESZO</t>
  </si>
  <si>
    <t xml:space="preserve"> Hajléktalan</t>
  </si>
  <si>
    <t xml:space="preserve"> Idősek klubja</t>
  </si>
  <si>
    <t xml:space="preserve"> FÉNI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</si>
  <si>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</si>
  <si>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</si>
  <si>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</si>
  <si>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</si>
  <si>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</si>
  <si>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Állami támogatások</t>
  </si>
  <si>
    <t>100 Ft/lakos</t>
  </si>
  <si>
    <t>20 Ft/lakos</t>
  </si>
  <si>
    <t>előirányzat 2015.</t>
  </si>
  <si>
    <t>2015. év</t>
  </si>
  <si>
    <t>200 Ft/lakos</t>
  </si>
  <si>
    <t>…./2014. (XII.09.) Kt. Határozat alapján</t>
  </si>
  <si>
    <t>10 Ft/lakos</t>
  </si>
  <si>
    <t>2014. évi</t>
  </si>
  <si>
    <t>Térségi Társulás felé befizetett tagdíjból átadásra kerülő</t>
  </si>
  <si>
    <t>K5</t>
  </si>
  <si>
    <t>K513</t>
  </si>
  <si>
    <t>Felhalmozási kiadások ezer Ft</t>
  </si>
  <si>
    <t>Felhalmozási bevételek ezer Ft</t>
  </si>
  <si>
    <t>3.c.</t>
  </si>
  <si>
    <t>3.d.</t>
  </si>
  <si>
    <t>3.f.</t>
  </si>
  <si>
    <t>Időskorúak nappali int. ellátása</t>
  </si>
  <si>
    <t>3.g.</t>
  </si>
  <si>
    <t>Fogyatékos személyek napp. int. ellátása</t>
  </si>
  <si>
    <t>Foglalkoztatási támogatásban rész. fogy.</t>
  </si>
  <si>
    <t xml:space="preserve">3.g. </t>
  </si>
  <si>
    <t>Demens szem. napp. int. ellátása</t>
  </si>
  <si>
    <t xml:space="preserve">3.i. </t>
  </si>
  <si>
    <t>Hajléktalanik napp. int. ellátása</t>
  </si>
  <si>
    <t>3.k.</t>
  </si>
  <si>
    <t>Hajléktalanok Átmeneti Szállása</t>
  </si>
  <si>
    <t>4.a.</t>
  </si>
  <si>
    <t>Bértámogatás</t>
  </si>
  <si>
    <t>4.b.</t>
  </si>
  <si>
    <t>Intézmény-üzemeltetési támogatás</t>
  </si>
  <si>
    <t>Eredeti előirányzat</t>
  </si>
  <si>
    <t>mutató</t>
  </si>
  <si>
    <t>Fajlagos támogatás 2014. évi C. tv. Alapján</t>
  </si>
  <si>
    <t>3.a.</t>
  </si>
  <si>
    <t>Családsegítés</t>
  </si>
  <si>
    <t>L/7000*1 975 000</t>
  </si>
  <si>
    <t>3.aa.</t>
  </si>
  <si>
    <t>Családsegítés társult kiegészítés</t>
  </si>
  <si>
    <t>300 Ft/fő</t>
  </si>
  <si>
    <t>Gyeremkjóléti szolgáltatás</t>
  </si>
  <si>
    <t>Gyeremkjóléti szolg. társult kiegészítés</t>
  </si>
  <si>
    <t>1200 Ft/fő</t>
  </si>
  <si>
    <t>4.a</t>
  </si>
  <si>
    <t>GyÁÓ bértámogatás</t>
  </si>
  <si>
    <t>4.b</t>
  </si>
  <si>
    <t>GyÁÓ intézmény-üzelemtetés</t>
  </si>
  <si>
    <t>Feladat</t>
  </si>
  <si>
    <t>Mindösszesen</t>
  </si>
  <si>
    <t>2015. évi költségvetéséről szóló határozatához</t>
  </si>
  <si>
    <t>2015. január 1.</t>
  </si>
  <si>
    <t>módosított</t>
  </si>
  <si>
    <t>K502</t>
  </si>
  <si>
    <t>Maradvány felhasználás</t>
  </si>
  <si>
    <t>B8131</t>
  </si>
  <si>
    <t>2015. év eredeti</t>
  </si>
  <si>
    <t>Irányító szervi támogatás részletezése 2015. év eredeti és módosított</t>
  </si>
  <si>
    <t>Bérkompenzáció</t>
  </si>
  <si>
    <t>Tagönkormányzatok támogatása</t>
  </si>
  <si>
    <t>Bértámogatás és intézmény üzemeltetés támogatás mint állami támogatás</t>
  </si>
  <si>
    <t>bérkompenzáció</t>
  </si>
  <si>
    <t>Gyáó épület felújítására átadott előirányzat</t>
  </si>
  <si>
    <t>Jubileumi jutalom, felmentési bérekre átadott előirányzat</t>
  </si>
  <si>
    <t>2015. évi eredeti</t>
  </si>
  <si>
    <t>Jubileumi jutalom, felmentési bérek</t>
  </si>
  <si>
    <t>Felújításra átadott előirányzat</t>
  </si>
  <si>
    <t>5. számú melléklet</t>
  </si>
  <si>
    <t>Rovat: B113, B115</t>
  </si>
  <si>
    <t>Szociális ágazgati pótlék*</t>
  </si>
  <si>
    <t>Szociális ágazati pótlék*</t>
  </si>
  <si>
    <t>* A szociális ágazgati pótlék kiadás szintje eredeti előirányzatban tervezésre került, így a bevételt az intézmény finanszírozás eredeti előirányzatban</t>
  </si>
  <si>
    <t>Ellátottak pénzbeli juttatásai</t>
  </si>
  <si>
    <t>2015. ÉVI KÖLTSÉGVETÉSI HATÁROZATÁHOZ</t>
  </si>
  <si>
    <t>Elvonások és befizetések</t>
  </si>
  <si>
    <t>2015. ÉVI KÖLTSÉGVETÉSI HATÁROZAT MÓDOSÍTÁSA</t>
  </si>
  <si>
    <t>előirányzat 2015.07.31</t>
  </si>
  <si>
    <t>előirányzat 2015.09.30</t>
  </si>
  <si>
    <t>B813</t>
  </si>
  <si>
    <t>2015.07.31. mód.</t>
  </si>
  <si>
    <t>2015.09.30.mód.</t>
  </si>
  <si>
    <t>Szociális ágazati pótlék és kiegészítő pótlék</t>
  </si>
  <si>
    <t>2015.07.31 mód.</t>
  </si>
  <si>
    <t>2015.09.30 mód.</t>
  </si>
  <si>
    <t xml:space="preserve">módosított </t>
  </si>
  <si>
    <t>előirányzat 2015.09.31</t>
  </si>
  <si>
    <t>Módosított előirányzat 2015.07.31</t>
  </si>
  <si>
    <t>Módosított előirányzat 2015.09.30</t>
  </si>
  <si>
    <t>2015. évi költségvetéséről szóló 2/2015. (II.17.) TT. határozatot</t>
  </si>
  <si>
    <t xml:space="preserve">K5 </t>
  </si>
  <si>
    <t>előirányzat 2015.12.31.</t>
  </si>
  <si>
    <t>2015.12.31 mód.</t>
  </si>
  <si>
    <t>2015.12.31.mód.</t>
  </si>
  <si>
    <t>Egyéb nettósításhoz kapcsolódó rendezések</t>
  </si>
  <si>
    <t>előirányzat 2015.12.31</t>
  </si>
  <si>
    <t>Felhalmozási célú pénzeszköz átadás</t>
  </si>
  <si>
    <t>K89</t>
  </si>
  <si>
    <t>B16, 816, B65</t>
  </si>
  <si>
    <t>2015. december 31.</t>
  </si>
  <si>
    <t>Módosított előirányzat 2015.12.31</t>
  </si>
  <si>
    <t xml:space="preserve">tartalmazza. </t>
  </si>
  <si>
    <t>Teljesítés</t>
  </si>
  <si>
    <t>B16, B65</t>
  </si>
  <si>
    <t>B16, B64</t>
  </si>
  <si>
    <t>Hitelek kölcsönök</t>
  </si>
  <si>
    <t>B16, B64, B816</t>
  </si>
  <si>
    <t>Kiadások és Bevételek működési egyensúlya teljesítés szerint</t>
  </si>
  <si>
    <t xml:space="preserve">  2015. december 31. teljesítés</t>
  </si>
  <si>
    <t xml:space="preserve">Foglalkoztatottak létszáma </t>
  </si>
  <si>
    <t>Foglalkoztatottak átlagos létszáma</t>
  </si>
  <si>
    <t>ebből közfoglalkoztatott</t>
  </si>
  <si>
    <t>Mosonmagyaróvár, 2016.  április 07.</t>
  </si>
  <si>
    <t>Teljesítés 2015.12.31-ig</t>
  </si>
  <si>
    <t>Év végi elszámolás szerint jár</t>
  </si>
  <si>
    <t>Igénybe vett és járó támogatás különbsége   (- visszafizetési kötelezettség, + járó támogatás)</t>
  </si>
  <si>
    <t>**</t>
  </si>
  <si>
    <t>** Gesztor önkormányzat felé visszafizetési kötelezettség az állami támogatások elszámolásához kapcsolódóan.</t>
  </si>
  <si>
    <t>Előző időszak</t>
  </si>
  <si>
    <t>Tárgyi időszak</t>
  </si>
  <si>
    <t>2014. év</t>
  </si>
  <si>
    <t>A/I/1 Vagyoni értékű jogok</t>
  </si>
  <si>
    <t>A/I/2 Szellemi termékek</t>
  </si>
  <si>
    <t>A/I Immateriális javak (=A/I/1+A/I/2+A/I/3)</t>
  </si>
  <si>
    <t>A/II/1 Ingatlanok és a kapcsolódó vagyoni értékű jogok</t>
  </si>
  <si>
    <t>A/II/2 Gépek, berendezések, felszerelések, járművek</t>
  </si>
  <si>
    <t>A/II/4 Beruházások, felújítások</t>
  </si>
  <si>
    <t>A/II Tárgyi eszközök  (=A/II/1+...+A/II/5)</t>
  </si>
  <si>
    <t>A) NEMZETI VAGYONBA TARTOZÓ BEFEKTETETT ESZKÖZÖK (=A/I+A/II+A/III+A/IV)</t>
  </si>
  <si>
    <t>B/I/1 Vásárolt készletek</t>
  </si>
  <si>
    <t>B/I Készletek (=B/I/1+…+B/I/5)</t>
  </si>
  <si>
    <t>B) NEMZETI VAGYONBA TARTOZÓ FORGÓESZKÖZÖK (= B/I+B/II)</t>
  </si>
  <si>
    <t>C/II/1 Forintpénztár</t>
  </si>
  <si>
    <t>C/II Pénztárak, csekkek, betétkönyvek (=C/II/1+C/II/2+C/II/3)</t>
  </si>
  <si>
    <t>C/III/1 Kincstáron kívüli forintszámlák</t>
  </si>
  <si>
    <t>C/III Forintszámlák (=C/III/1+C/III/2)</t>
  </si>
  <si>
    <t>C) PÉNZESZKÖZÖK (=C/I+…+C/IV)</t>
  </si>
  <si>
    <t>D/I/4 Költségvetési évben esedékes követelések működési bevételre (=D/I/4a+…+D/I/4i)</t>
  </si>
  <si>
    <t>D/I/4a - ebből: költségvetési évben esedékes követelések készletértékesítés ellenértékére, szolgáltatások ellenértékére, közvetített szolgáltatások ellenértékére</t>
  </si>
  <si>
    <t>D/I/4c - ebből: költségvetési évben esedékes követelések ellátási díjakra</t>
  </si>
  <si>
    <t>D/I/4d - ebből: költségvetési évben esedékes követelések kiszámlázott általános forgalmi adóra</t>
  </si>
  <si>
    <t>D/I/4i - ebből: költségvetési évben esedékes követelések egyéb működési bevételekre</t>
  </si>
  <si>
    <t>D/I Költségvetési évben esedékes követelések (=D/I/1+…+D/I/8)</t>
  </si>
  <si>
    <t>D/II/4 Költségvetési évet követően esedékes követelések működési bevételre (=D/II/4a+…+D/II/4i)</t>
  </si>
  <si>
    <t>D/II/4d - ebből: költségvetési évet követően esedékes követelések kiszámlázott általános forgalmi adóra</t>
  </si>
  <si>
    <t>D/II/4e - ebből: költségvetési évet követően esedékes követelések általános forgalmi adó visszatérítésére</t>
  </si>
  <si>
    <t>D/II Költségvetési évet követően esedékes követelések (=D/II/1+…+D/II/8)</t>
  </si>
  <si>
    <t>D) KÖVETELÉSEK  (=D/I+D/II+D/III)</t>
  </si>
  <si>
    <t>E/I December havi illetmények, munkabérek elszámolása</t>
  </si>
  <si>
    <t>E/II Utalványok, bérletek és más hasonló, készpénz-helyettesítő fizetési eszköznek nem minősülő eszközök elszámolásai</t>
  </si>
  <si>
    <t>E) EGYÉB SAJÁTOS ESZKÖZOLDALI  ELSZÁMOLÁSOK (=E/I+…+E/II)</t>
  </si>
  <si>
    <t>F/1  Eredményszemléletű bevételek aktív időbeli elhatárolása</t>
  </si>
  <si>
    <t>F/2 Költségek, ráfordítások aktív időbeli elhatárolása</t>
  </si>
  <si>
    <t>F) AKTÍV IDŐBELI  ELHATÁROLÁSOK  (=F/1+F/2+F/3)</t>
  </si>
  <si>
    <t>ESZKÖZÖK ÖSSZESEN (=A+B+C+D+E+F)</t>
  </si>
  <si>
    <t>G/I  Nemzeti vagyon induláskori értéke</t>
  </si>
  <si>
    <t>G/II Nemzeti vagyon változásai</t>
  </si>
  <si>
    <t>G/III Egyéb eszközök induláskori értéke és változásai</t>
  </si>
  <si>
    <t>G/IV Felhalmozott eredmény</t>
  </si>
  <si>
    <t>G/VI Mérleg szerinti eredmény</t>
  </si>
  <si>
    <t>G/ SAJÁT TŐKE  (= G/I+…+G/VI)</t>
  </si>
  <si>
    <t>H/I/3 Költségvetési évben esedékes kötelezettségek dologi kiadásokra</t>
  </si>
  <si>
    <t>H/I Költségvetési évben esedékes kötelezettségek (=H/I/1+…+H/I/9)</t>
  </si>
  <si>
    <t>H/II/3 Költségvetési évet követően esedékes kötelezettségek dologi kiadásokra</t>
  </si>
  <si>
    <t>H/II Költségvetési évet követően esedékes kötelezettségek (=H/II/1+…+H/II/9)</t>
  </si>
  <si>
    <t>H/III/5 Vagyonkezelésbe vett eszközökkel kapcsolatos visszapótlási kötelezettség elszámolása</t>
  </si>
  <si>
    <t>H/III/8 Letétre, megőrzésre, fedezetkezelésre átvett pénzeszközök, biztosítékok</t>
  </si>
  <si>
    <t>H/III Kötelezettség jellegű sajátos elszámolások (=H/III/1+…+H/III/10)</t>
  </si>
  <si>
    <t>H) KÖTELEZETTSÉGEK (=H/I+H/II+H/III)</t>
  </si>
  <si>
    <t>J/2 Költségek, ráfordítások passzív időbeli elhatárolása</t>
  </si>
  <si>
    <t>J) PASSZÍV IDŐBELI ELHATÁROLÁSOK (=J/1+J/2+J/3)</t>
  </si>
  <si>
    <t>FORRÁSOK ÖSSZESEN (=G+H+I+J)</t>
  </si>
  <si>
    <t>Térségi Társulás</t>
  </si>
  <si>
    <t>2014.év</t>
  </si>
  <si>
    <t>Vagyonmérleg</t>
  </si>
  <si>
    <t>KESZI</t>
  </si>
  <si>
    <t>KGYCSSZK</t>
  </si>
  <si>
    <t>Összevont Vagyonmérleg</t>
  </si>
  <si>
    <t>6. számú melléklet</t>
  </si>
  <si>
    <t>Eredménykimutatás</t>
  </si>
  <si>
    <t>összevont</t>
  </si>
  <si>
    <t>02        Eszközök és szolgáltatások értékesítése nettó eredményszemléletű bevételei</t>
  </si>
  <si>
    <t>I        Tevékenység nettó eredményszemléletű bevétele (=01+02+03) (04=01+02+03)</t>
  </si>
  <si>
    <t>06        Központi működési célú támogatások eredményszemléletű bevételei</t>
  </si>
  <si>
    <t>07        Egyéb működési célú támogatások eredményszemléletű bevételei</t>
  </si>
  <si>
    <t>08        Különféle egyéb eredményszemléletű bevételek</t>
  </si>
  <si>
    <t>III        Egyéb eredményszemléletű bevételek (=06+07+08) (11=08+09+10)</t>
  </si>
  <si>
    <t>09        Anyagköltség</t>
  </si>
  <si>
    <t>10        Igénybe vett szolgáltatások értéke</t>
  </si>
  <si>
    <t>12        Eladott (közvetített) szolgáltatások értéke</t>
  </si>
  <si>
    <t>IV        Anyagjellegű ráfordítások (=09+10+11+12) (16=12+...+15)</t>
  </si>
  <si>
    <t>13        Bérköltség</t>
  </si>
  <si>
    <t>14        Személyi jellegű egyéb kifizetések</t>
  </si>
  <si>
    <t>15        Bérjárulékok</t>
  </si>
  <si>
    <t>V        Személyi jellegű ráfordítások (=13+14+15) (20=17+...+19)</t>
  </si>
  <si>
    <t>VI        Értékcsökkenési leírás</t>
  </si>
  <si>
    <t>VII        Egyéb ráfordítások</t>
  </si>
  <si>
    <t>A) TEVÉKENYSÉGEK EREDMÉNYE (=I±II+III-IV-V-VI-VII) (23=04±07+11-(16+20+21+22))</t>
  </si>
  <si>
    <t>17        Kapott (járó) kamatok és kamatjellegű eredményszemléletű bevételek</t>
  </si>
  <si>
    <t>VIII        Pénzügyi műveletek eredményszemléletű bevételei (=16+17+18) (28=24+...+26)</t>
  </si>
  <si>
    <t>B)        PÉNZÜGYI MŰVELETEK EREDMÉNYE (=VIII-IX) (34=28-33)</t>
  </si>
  <si>
    <t>C)        SZOKÁSOS EREDMÉNY (=±A±B) (35=±23±34)</t>
  </si>
  <si>
    <t>XI        Rendkívüli ráfordítások</t>
  </si>
  <si>
    <t>D)        RENDKÍVÜLI EREDMÉNY(=X-XI) (40=38-39)</t>
  </si>
  <si>
    <t>E)        MÉRLEG SZERINTI EREDMÉNY (=±C±D) (41=±35±40)</t>
  </si>
  <si>
    <t>Társulás</t>
  </si>
  <si>
    <t>Maradványkimutatás</t>
  </si>
  <si>
    <t>Összeg</t>
  </si>
  <si>
    <t>Összevont</t>
  </si>
  <si>
    <t>ezer Ft-ban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</si>
  <si>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</si>
  <si>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</si>
  <si>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</si>
  <si>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</si>
  <si>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</si>
  <si>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</si>
  <si>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</si>
  <si>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C)        Összes maradvány (=A+B)</t>
  </si>
  <si>
    <t>E)        Alaptevékenység szabad maradványa (=A-D)</t>
  </si>
  <si>
    <t>Maradvány</t>
  </si>
  <si>
    <t>Maradvány kimutatás</t>
  </si>
  <si>
    <t>011130  Önkormányzatok és önkormányzati hivatalok jogalkotó és általános igazgatási tevékenysége</t>
  </si>
  <si>
    <t>018030  Támogatási célú finanszírozási műveletek</t>
  </si>
  <si>
    <t>049010  Máshova nem sorolt gazdasági ügyek</t>
  </si>
  <si>
    <t>084032  Civil szervezetek programtámogatása</t>
  </si>
  <si>
    <t>Személyi juttatások (=15+19) (K1)</t>
  </si>
  <si>
    <t>Munkaadókat terhelő járulékok és szociális hozzájárulási adó (=22+…+28) (K2)</t>
  </si>
  <si>
    <t>Kommunikációs szolgáltatások (=33+34) (K32)</t>
  </si>
  <si>
    <t>Szolgáltatási kiadások (=36+37+38+40+41+43+44) (K33)</t>
  </si>
  <si>
    <t>Kiküldetések, reklám- és propagandakiadások (=46+47) (K34)</t>
  </si>
  <si>
    <t>Működési célú előzetesen felszámított általános forgalmi adó (K351)</t>
  </si>
  <si>
    <t>Egyéb dologi kiadások (K355)</t>
  </si>
  <si>
    <t>Különféle befizetések és egyéb dologi kiadások (=49+50+51+54+58) (K35)</t>
  </si>
  <si>
    <t>Dologi kiadások (=32+35+45+48+59) (K3)</t>
  </si>
  <si>
    <t>Egyéb elvonások, befizetések (K5023)</t>
  </si>
  <si>
    <t>Elvonások és befizetések (K502) (=134+135+136)</t>
  </si>
  <si>
    <t>Egyéb működési célú támogatások államháztartáson belülre (=162+…+171) (K506)</t>
  </si>
  <si>
    <t>Egyéb működési célú támogatások államháztartáson kívülre (=190+…+199) (K512)</t>
  </si>
  <si>
    <t>Egyéb működési célú kiadások (=132+137+138+139+150+161+172+174+186+187+188+189+200) (K5)</t>
  </si>
  <si>
    <t>Egyéb felhalmozási célú támogatások államháztartáson kívülre (=267+…+276) (K89)</t>
  </si>
  <si>
    <t>Egyéb felhalmozási célú kiadások (=216+217+228+239+250+252+264+265+266) (K8)</t>
  </si>
  <si>
    <t>Költségvetési kiadások (=20+21+60+131+201+210+215+277) (K1-K8)</t>
  </si>
  <si>
    <t>Központi, irányító szervi támogatások folyósítása (K915)</t>
  </si>
  <si>
    <t>Belföldi finanszírozás kiadásai (=284+297+…+303+306) (K91)</t>
  </si>
  <si>
    <t>Finanszírozási kiadások (=307+315+316+317) (K9)</t>
  </si>
  <si>
    <t>Kiadások összesen (=278+318) (K1-K9)</t>
  </si>
  <si>
    <t>101221  Fogyatékossággal élők nappali ellátása</t>
  </si>
  <si>
    <t>102021  Időskorúak, demens betegek tartós bentlakásos ellátása</t>
  </si>
  <si>
    <t>102022  Időskorúak, demens betegek átmeneti ellátása</t>
  </si>
  <si>
    <t>102030  Idősek, demens betegek nappali ellátása</t>
  </si>
  <si>
    <t>107013  Hajléktalanok átmeneti ellátása</t>
  </si>
  <si>
    <t>107015  Hajléktalanok nappali ellátása</t>
  </si>
  <si>
    <t>107030  Szociális foglalkoztatás</t>
  </si>
  <si>
    <t>107051  Szociális étkeztetés</t>
  </si>
  <si>
    <t>107052  Házi segítségnyújtás</t>
  </si>
  <si>
    <t>107053  Jelzőrendszeres házi segítségnyújtás</t>
  </si>
  <si>
    <t>Készletbeszerzés (=29+30+31) (K31)</t>
  </si>
  <si>
    <t>Intézményi ellátottak pénzbeli juttatásai (&gt;=103+104) (K47)</t>
  </si>
  <si>
    <t>Ellátottak pénzbeli juttatásai (=61+62+74+75+85+95+102+105) (K4)</t>
  </si>
  <si>
    <t>Informatikai eszközök beszerzése, létesítése (K63)</t>
  </si>
  <si>
    <t>Egyéb tárgyi eszközök beszerzése, létesítése (K64)</t>
  </si>
  <si>
    <t>Beruházási célú előzetesen felszámított általános forgalmi adó (K67)</t>
  </si>
  <si>
    <t>Beruházások (=202+203+205+…+209) (K6)</t>
  </si>
  <si>
    <t>Ingatlanok felújítása (K71)</t>
  </si>
  <si>
    <t>Egyéb tárgyi eszközök felújítása (K73)</t>
  </si>
  <si>
    <t>Felújítási célú előzetesen felszámított általános forgalmi adó (K74)</t>
  </si>
  <si>
    <t>Felújítások (=211+...+214) (K7)</t>
  </si>
  <si>
    <t>104012  Gyermekek átmeneti ellátása</t>
  </si>
  <si>
    <t>104042  Gyermekjóléti szolgáltatások</t>
  </si>
  <si>
    <t>107054  Családsegítés</t>
  </si>
  <si>
    <t>7. számú melléklet</t>
  </si>
  <si>
    <t>8. számú melléklet</t>
  </si>
  <si>
    <t>KIADÁSOK KORMÁNYZATI FUNKCIÓNKÉNT                                                                                                                            9. számú melléklet</t>
  </si>
  <si>
    <t>047450  Szektorhoz nem köthető komplex gazdaságfejlesztési projektek támogatása</t>
  </si>
  <si>
    <t>Működési célú támogatások államháztartáson belülről (=07+...+10+21+32) (B1)</t>
  </si>
  <si>
    <t>Működési bevételek (=186+187+190+192+199+…+202+206+211+212) (B4)</t>
  </si>
  <si>
    <t>Működési célú átvett pénzeszközök (=225+...+228+238) (B6)</t>
  </si>
  <si>
    <t>Költségvetési bevételek (=43+79+185+215+224+250+276) (B1-B7)</t>
  </si>
  <si>
    <t>Maradvány igénybevétele (=289+290) (B813)</t>
  </si>
  <si>
    <t>Belföldi finanszírozás bevételei (=281+288+291+…+296+299) (B81)</t>
  </si>
  <si>
    <t>Finanszírozási bevételek (=300+306+307+308) (B8)</t>
  </si>
  <si>
    <t>Bevételek összesen (277+309) (B1-B8)</t>
  </si>
  <si>
    <t>Központi, irányító szervi támogatás (B816)</t>
  </si>
  <si>
    <t>Kistérségi Gyermekjóléti és Családsegítő Szolgálat</t>
  </si>
  <si>
    <t>BEVÉTELEK KORMÁNYZATI FUNKCIÓNKÉNT                                                                            10. SZÁMÚ MELLÉKLET</t>
  </si>
  <si>
    <t>Mosonmagyaróvári Többcélú Kistérségi Társulás</t>
  </si>
  <si>
    <t>államháztartáson belülre illetve kívülre megvalósított</t>
  </si>
  <si>
    <t>pénzeszköz átadások</t>
  </si>
  <si>
    <t>Teljesítés ezer Ft-ban</t>
  </si>
  <si>
    <t>Áht. Belüli pénzeszköz átadás</t>
  </si>
  <si>
    <t>.= megállapodás alapján Hivatal részére átadott támogatás</t>
  </si>
  <si>
    <t>Áht. Kívüli pénzeszköz átadás</t>
  </si>
  <si>
    <t>.= Térségi Nyugdíjas Klub támogatása</t>
  </si>
  <si>
    <t>Felhalmozási célú pénzeszköz átadás Áht. Kívülre</t>
  </si>
  <si>
    <t>.= Karolina Kórház - Rendelőintézet eszközbeszerzéséhez kapcsolódó alapítványi támogatás</t>
  </si>
  <si>
    <t>Összes pénzeszköz átadás intézményfinanszírozáson kívül</t>
  </si>
  <si>
    <t>2015. december 31-ig</t>
  </si>
  <si>
    <t>.= Hegyeshalom Község Önkormányzatának szolidaritási alapból átadott támogatás</t>
  </si>
  <si>
    <t>.= Diáksport Bizottság támogatása</t>
  </si>
  <si>
    <t>.= Aranypor kiadvány támogatása</t>
  </si>
  <si>
    <r>
      <t xml:space="preserve">.= </t>
    </r>
    <r>
      <rPr>
        <sz val="11"/>
        <color theme="1"/>
        <rFont val="Calibri"/>
        <family val="2"/>
        <charset val="238"/>
        <scheme val="minor"/>
      </rPr>
      <t>Magyar Államkincstár felé elszámolás alapján visszafizetett támogatás</t>
    </r>
  </si>
  <si>
    <r>
      <t xml:space="preserve">.= </t>
    </r>
    <r>
      <rPr>
        <sz val="11"/>
        <color theme="1"/>
        <rFont val="Calibri"/>
        <family val="2"/>
        <charset val="238"/>
        <scheme val="minor"/>
      </rPr>
      <t>Mosonmagyaróvár Város Önkormányzatának 2014. évi elszámolás alapján visszafizetett állami támogatás</t>
    </r>
  </si>
  <si>
    <t>12. számú melléklet</t>
  </si>
  <si>
    <t>Mosonmagyaróvár Térségi Társulás tagönkormányzati által teljesített befizetések</t>
  </si>
  <si>
    <t>Előirányzat Ft</t>
  </si>
  <si>
    <t>Teljesített befizetés Ft</t>
  </si>
  <si>
    <t>Tartozás Ft</t>
  </si>
  <si>
    <t>Megjegyzés Ft</t>
  </si>
  <si>
    <t>Társulási tagdíj</t>
  </si>
  <si>
    <t>Gyermekjólét támogatása</t>
  </si>
  <si>
    <t>Karolina Kórház - Rendelőintézet eszközbeszerzés támogatása</t>
  </si>
  <si>
    <t>Szolidaritási alap</t>
  </si>
  <si>
    <t>2015. évben</t>
  </si>
  <si>
    <t>felhasználás a KGYCSSZK működéséhez</t>
  </si>
  <si>
    <t>a Tásulás kiegészítette a támogatást 299.160 Ft-tal, és a kórházi alapítványnak átadásra került az 1.827e Ft</t>
  </si>
  <si>
    <t>teljes egészében átadásra került tanácsi döntés alapján Hegyeshalom Község Önk. Részére</t>
  </si>
  <si>
    <t>Felújítási alap</t>
  </si>
  <si>
    <t>Felhasználás: - Idősek klubja állmenyezet 321.843,- Ft, PVC padló idősek klubja 106.097,- Ft, Hajléktalan szálló felújítása 1.511.954,- Ft, intézményi karbantartása 142.138,- Ft, Családsegítő Központ festés villanyszerelés 1.475.712,- Ft, Idősek Gondozóház folyó burkolat csere 411.480,- Ft, E-on csatlakozási díj 271.780,- Ft, ajtózár csere 134.626 ,- Ft, Gyermekek átmeneti otthon felújítása 2.154.207,- Ft, Gyermekek átmeneti otthon festési anyag 370.060,- Ft. Összesen 6.899.897 Ft került felhasználásra. A maradvány - figyelembe véve a 2014. évi maradványt is - 3.584.052,- Ft</t>
  </si>
  <si>
    <t>végrehajtásáról szóló  …/2016. (IV. 19.) TT. határozat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</si>
</sst>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</numFmts>
  <fonts count="59" x14ac:knownFonts="1"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2"/>
      <color rgb="FFFF0000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13"/>
        <bgColor indexed="13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51"/>
      </patternFill>
    </fill>
    <fill>
      <patternFill patternType="solid">
        <fgColor indexed="4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">
    <xf numFmtId="0" fontId="0" fillId="0" borderId="0"/>
    <xf numFmtId="168" fontId="28" fillId="0" borderId="0" applyBorder="0" applyProtection="0"/>
    <xf numFmtId="164" fontId="28" fillId="0" borderId="0" applyBorder="0" applyProtection="0"/>
    <xf numFmtId="169" fontId="4" fillId="0" borderId="0" applyFont="0" applyFill="0" applyBorder="0" applyAlignment="0" applyProtection="0"/>
    <xf numFmtId="0" fontId="29" fillId="0" borderId="0" applyNumberFormat="0" applyBorder="0" applyProtection="0">
      <alignment horizontal="center"/>
    </xf>
    <xf numFmtId="0" fontId="29" fillId="0" borderId="0" applyNumberFormat="0" applyBorder="0" applyProtection="0">
      <alignment horizontal="center" textRotation="90"/>
    </xf>
    <xf numFmtId="164" fontId="30" fillId="0" borderId="0" applyBorder="0" applyProtection="0"/>
    <xf numFmtId="164" fontId="30" fillId="0" borderId="0" applyBorder="0" applyProtection="0"/>
    <xf numFmtId="0" fontId="28" fillId="0" borderId="0" applyNumberFormat="0" applyBorder="0" applyProtection="0"/>
    <xf numFmtId="0" fontId="28" fillId="0" borderId="0" applyNumberFormat="0" applyBorder="0" applyProtection="0"/>
    <xf numFmtId="0" fontId="31" fillId="0" borderId="0" applyNumberFormat="0" applyBorder="0" applyProtection="0"/>
    <xf numFmtId="170" fontId="31" fillId="0" borderId="0" applyBorder="0" applyProtection="0"/>
    <xf numFmtId="0" fontId="3" fillId="0" borderId="0"/>
    <xf numFmtId="169" fontId="4" fillId="0" borderId="0" applyFont="0" applyFill="0" applyBorder="0" applyAlignment="0" applyProtection="0"/>
    <xf numFmtId="0" fontId="34" fillId="0" borderId="0"/>
    <xf numFmtId="0" fontId="2" fillId="0" borderId="0"/>
    <xf numFmtId="164" fontId="28" fillId="0" borderId="0" applyBorder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4" fillId="14" borderId="39" applyNumberFormat="0" applyAlignment="0" applyProtection="0"/>
    <xf numFmtId="0" fontId="45" fillId="0" borderId="0" applyNumberFormat="0" applyFill="0" applyBorder="0" applyAlignment="0" applyProtection="0"/>
    <xf numFmtId="0" fontId="46" fillId="0" borderId="40" applyNumberFormat="0" applyFill="0" applyAlignment="0" applyProtection="0"/>
    <xf numFmtId="0" fontId="47" fillId="0" borderId="41" applyNumberFormat="0" applyFill="0" applyAlignment="0" applyProtection="0"/>
    <xf numFmtId="0" fontId="48" fillId="0" borderId="42" applyNumberFormat="0" applyFill="0" applyAlignment="0" applyProtection="0"/>
    <xf numFmtId="0" fontId="48" fillId="0" borderId="0" applyNumberFormat="0" applyFill="0" applyBorder="0" applyAlignment="0" applyProtection="0"/>
    <xf numFmtId="0" fontId="49" fillId="23" borderId="43" applyNumberFormat="0" applyAlignment="0" applyProtection="0"/>
    <xf numFmtId="0" fontId="5" fillId="0" borderId="0"/>
    <xf numFmtId="169" fontId="34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44" applyNumberFormat="0" applyFill="0" applyAlignment="0" applyProtection="0"/>
    <xf numFmtId="0" fontId="37" fillId="24" borderId="45" applyNumberFormat="0" applyFont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8" borderId="0" applyNumberFormat="0" applyBorder="0" applyAlignment="0" applyProtection="0"/>
    <xf numFmtId="0" fontId="52" fillId="11" borderId="0" applyNumberFormat="0" applyBorder="0" applyAlignment="0" applyProtection="0"/>
    <xf numFmtId="0" fontId="53" fillId="29" borderId="46" applyNumberFormat="0" applyAlignment="0" applyProtection="0"/>
    <xf numFmtId="0" fontId="54" fillId="0" borderId="0" applyNumberFormat="0" applyFill="0" applyBorder="0" applyAlignment="0" applyProtection="0"/>
    <xf numFmtId="0" fontId="6" fillId="0" borderId="47" applyNumberFormat="0" applyFill="0" applyAlignment="0" applyProtection="0"/>
    <xf numFmtId="0" fontId="55" fillId="10" borderId="0" applyNumberFormat="0" applyBorder="0" applyAlignment="0" applyProtection="0"/>
    <xf numFmtId="0" fontId="56" fillId="30" borderId="0" applyNumberFormat="0" applyBorder="0" applyAlignment="0" applyProtection="0"/>
    <xf numFmtId="0" fontId="57" fillId="29" borderId="39" applyNumberFormat="0" applyAlignment="0" applyProtection="0"/>
  </cellStyleXfs>
  <cellXfs count="225">
    <xf numFmtId="0" fontId="0" fillId="0" borderId="0" xfId="0"/>
    <xf numFmtId="164" fontId="5" fillId="0" borderId="0" xfId="2" applyFont="1" applyFill="1" applyAlignment="1"/>
    <xf numFmtId="164" fontId="6" fillId="0" borderId="0" xfId="2" applyFont="1" applyFill="1" applyAlignment="1"/>
    <xf numFmtId="164" fontId="6" fillId="0" borderId="0" xfId="2" applyFont="1" applyFill="1" applyAlignment="1">
      <alignment horizontal="center"/>
    </xf>
    <xf numFmtId="164" fontId="8" fillId="0" borderId="0" xfId="2" applyFont="1" applyFill="1" applyAlignment="1">
      <alignment horizontal="center"/>
    </xf>
    <xf numFmtId="164" fontId="7" fillId="0" borderId="1" xfId="2" applyFont="1" applyFill="1" applyBorder="1" applyAlignment="1">
      <alignment horizontal="center" vertical="top" wrapText="1"/>
    </xf>
    <xf numFmtId="164" fontId="7" fillId="0" borderId="2" xfId="2" applyFont="1" applyFill="1" applyBorder="1" applyAlignment="1">
      <alignment horizontal="center" vertical="top" wrapText="1"/>
    </xf>
    <xf numFmtId="164" fontId="9" fillId="0" borderId="3" xfId="2" applyFont="1" applyFill="1" applyBorder="1" applyAlignment="1">
      <alignment horizontal="center" vertical="top" wrapText="1"/>
    </xf>
    <xf numFmtId="164" fontId="9" fillId="0" borderId="4" xfId="2" applyFont="1" applyFill="1" applyBorder="1" applyAlignment="1">
      <alignment horizontal="justify" vertical="top" wrapText="1"/>
    </xf>
    <xf numFmtId="164" fontId="9" fillId="0" borderId="2" xfId="2" applyFont="1" applyFill="1" applyBorder="1" applyAlignment="1">
      <alignment horizontal="justify" vertical="top" wrapText="1"/>
    </xf>
    <xf numFmtId="164" fontId="9" fillId="0" borderId="5" xfId="2" applyFont="1" applyFill="1" applyBorder="1" applyAlignment="1">
      <alignment horizontal="center" vertical="top" wrapText="1"/>
    </xf>
    <xf numFmtId="164" fontId="9" fillId="0" borderId="0" xfId="2" applyFont="1" applyFill="1" applyAlignment="1">
      <alignment horizontal="justify"/>
    </xf>
    <xf numFmtId="164" fontId="10" fillId="0" borderId="0" xfId="2" applyFont="1" applyFill="1" applyAlignment="1">
      <alignment horizontal="center"/>
    </xf>
    <xf numFmtId="164" fontId="11" fillId="2" borderId="0" xfId="2" applyFont="1" applyFill="1" applyAlignment="1">
      <alignment horizontal="center" wrapText="1"/>
    </xf>
    <xf numFmtId="164" fontId="12" fillId="0" borderId="6" xfId="2" applyFont="1" applyFill="1" applyBorder="1" applyAlignment="1">
      <alignment horizontal="center"/>
    </xf>
    <xf numFmtId="164" fontId="6" fillId="0" borderId="6" xfId="2" applyFont="1" applyFill="1" applyBorder="1" applyAlignment="1">
      <alignment horizontal="center"/>
    </xf>
    <xf numFmtId="164" fontId="12" fillId="0" borderId="7" xfId="2" applyFont="1" applyFill="1" applyBorder="1" applyAlignment="1">
      <alignment horizontal="center"/>
    </xf>
    <xf numFmtId="164" fontId="12" fillId="0" borderId="7" xfId="2" applyFont="1" applyFill="1" applyBorder="1" applyAlignment="1">
      <alignment horizontal="center" wrapText="1"/>
    </xf>
    <xf numFmtId="164" fontId="6" fillId="0" borderId="8" xfId="2" applyFont="1" applyFill="1" applyBorder="1" applyAlignment="1">
      <alignment horizontal="center"/>
    </xf>
    <xf numFmtId="164" fontId="13" fillId="0" borderId="9" xfId="2" applyFont="1" applyFill="1" applyBorder="1" applyAlignment="1"/>
    <xf numFmtId="166" fontId="13" fillId="0" borderId="9" xfId="2" applyNumberFormat="1" applyFont="1" applyFill="1" applyBorder="1" applyAlignment="1"/>
    <xf numFmtId="164" fontId="5" fillId="0" borderId="9" xfId="2" applyFont="1" applyFill="1" applyBorder="1" applyAlignment="1"/>
    <xf numFmtId="164" fontId="5" fillId="0" borderId="9" xfId="2" applyFont="1" applyFill="1" applyBorder="1" applyAlignment="1">
      <alignment wrapText="1"/>
    </xf>
    <xf numFmtId="166" fontId="13" fillId="0" borderId="10" xfId="2" applyNumberFormat="1" applyFont="1" applyFill="1" applyBorder="1" applyAlignment="1"/>
    <xf numFmtId="164" fontId="12" fillId="3" borderId="9" xfId="2" applyFont="1" applyFill="1" applyBorder="1" applyAlignment="1"/>
    <xf numFmtId="166" fontId="12" fillId="3" borderId="9" xfId="2" applyNumberFormat="1" applyFont="1" applyFill="1" applyBorder="1" applyAlignment="1"/>
    <xf numFmtId="166" fontId="12" fillId="3" borderId="10" xfId="2" applyNumberFormat="1" applyFont="1" applyFill="1" applyBorder="1" applyAlignment="1"/>
    <xf numFmtId="166" fontId="12" fillId="0" borderId="9" xfId="2" applyNumberFormat="1" applyFont="1" applyFill="1" applyBorder="1" applyAlignment="1"/>
    <xf numFmtId="166" fontId="12" fillId="0" borderId="10" xfId="2" applyNumberFormat="1" applyFont="1" applyFill="1" applyBorder="1" applyAlignment="1"/>
    <xf numFmtId="166" fontId="13" fillId="0" borderId="0" xfId="2" applyNumberFormat="1" applyFont="1" applyFill="1" applyAlignment="1"/>
    <xf numFmtId="164" fontId="14" fillId="0" borderId="9" xfId="2" applyFont="1" applyFill="1" applyBorder="1" applyAlignment="1"/>
    <xf numFmtId="164" fontId="13" fillId="0" borderId="0" xfId="2" applyFont="1" applyFill="1" applyAlignment="1"/>
    <xf numFmtId="166" fontId="12" fillId="3" borderId="0" xfId="2" applyNumberFormat="1" applyFont="1" applyFill="1" applyAlignment="1"/>
    <xf numFmtId="164" fontId="12" fillId="0" borderId="9" xfId="2" applyFont="1" applyFill="1" applyBorder="1" applyAlignment="1"/>
    <xf numFmtId="164" fontId="12" fillId="0" borderId="0" xfId="2" applyFont="1" applyFill="1" applyAlignment="1"/>
    <xf numFmtId="166" fontId="12" fillId="0" borderId="0" xfId="2" applyNumberFormat="1" applyFont="1" applyFill="1" applyAlignment="1"/>
    <xf numFmtId="164" fontId="11" fillId="2" borderId="0" xfId="2" applyFont="1" applyFill="1" applyAlignment="1"/>
    <xf numFmtId="164" fontId="11" fillId="2" borderId="0" xfId="2" applyFont="1" applyFill="1" applyAlignment="1">
      <alignment wrapText="1"/>
    </xf>
    <xf numFmtId="164" fontId="12" fillId="0" borderId="11" xfId="2" applyFont="1" applyFill="1" applyBorder="1" applyAlignment="1">
      <alignment horizontal="center"/>
    </xf>
    <xf numFmtId="164" fontId="12" fillId="0" borderId="12" xfId="2" applyFont="1" applyFill="1" applyBorder="1" applyAlignment="1">
      <alignment horizontal="center" wrapText="1"/>
    </xf>
    <xf numFmtId="0" fontId="15" fillId="0" borderId="0" xfId="0" applyFont="1"/>
    <xf numFmtId="49" fontId="0" fillId="0" borderId="9" xfId="0" applyNumberFormat="1" applyBorder="1"/>
    <xf numFmtId="49" fontId="0" fillId="0" borderId="9" xfId="0" applyNumberFormat="1" applyBorder="1" applyAlignment="1">
      <alignment wrapText="1"/>
    </xf>
    <xf numFmtId="167" fontId="6" fillId="0" borderId="0" xfId="3" applyNumberFormat="1" applyFont="1" applyFill="1" applyAlignment="1"/>
    <xf numFmtId="49" fontId="5" fillId="0" borderId="9" xfId="0" applyNumberFormat="1" applyFont="1" applyBorder="1" applyAlignment="1">
      <alignment wrapText="1"/>
    </xf>
    <xf numFmtId="164" fontId="10" fillId="0" borderId="0" xfId="2" applyFont="1" applyFill="1" applyAlignment="1">
      <alignment horizontal="center" wrapText="1"/>
    </xf>
    <xf numFmtId="164" fontId="5" fillId="0" borderId="0" xfId="2" applyFont="1" applyFill="1" applyAlignment="1">
      <alignment wrapText="1"/>
    </xf>
    <xf numFmtId="164" fontId="6" fillId="0" borderId="0" xfId="2" applyFont="1" applyFill="1" applyAlignment="1">
      <alignment wrapText="1"/>
    </xf>
    <xf numFmtId="165" fontId="16" fillId="0" borderId="9" xfId="1" applyNumberFormat="1" applyFont="1" applyFill="1" applyBorder="1" applyAlignment="1"/>
    <xf numFmtId="164" fontId="6" fillId="4" borderId="9" xfId="2" applyFont="1" applyFill="1" applyBorder="1" applyAlignment="1">
      <alignment wrapText="1"/>
    </xf>
    <xf numFmtId="165" fontId="6" fillId="4" borderId="9" xfId="1" applyNumberFormat="1" applyFont="1" applyFill="1" applyBorder="1" applyAlignment="1"/>
    <xf numFmtId="164" fontId="5" fillId="0" borderId="10" xfId="2" applyFont="1" applyFill="1" applyBorder="1" applyAlignment="1">
      <alignment wrapText="1"/>
    </xf>
    <xf numFmtId="165" fontId="17" fillId="0" borderId="9" xfId="1" applyNumberFormat="1" applyFont="1" applyFill="1" applyBorder="1" applyAlignment="1"/>
    <xf numFmtId="164" fontId="6" fillId="4" borderId="0" xfId="2" applyFont="1" applyFill="1" applyAlignment="1">
      <alignment wrapText="1"/>
    </xf>
    <xf numFmtId="165" fontId="10" fillId="4" borderId="0" xfId="2" applyNumberFormat="1" applyFont="1" applyFill="1" applyAlignment="1"/>
    <xf numFmtId="165" fontId="6" fillId="0" borderId="0" xfId="1" applyNumberFormat="1" applyFont="1" applyFill="1" applyAlignment="1"/>
    <xf numFmtId="165" fontId="10" fillId="0" borderId="0" xfId="1" applyNumberFormat="1" applyFont="1" applyFill="1" applyAlignment="1"/>
    <xf numFmtId="164" fontId="8" fillId="0" borderId="0" xfId="2" applyFont="1" applyFill="1" applyAlignment="1">
      <alignment horizontal="right"/>
    </xf>
    <xf numFmtId="164" fontId="8" fillId="0" borderId="0" xfId="2" applyFont="1" applyFill="1" applyAlignment="1"/>
    <xf numFmtId="164" fontId="8" fillId="0" borderId="0" xfId="2" applyFont="1" applyFill="1" applyAlignment="1">
      <alignment horizontal="justify"/>
    </xf>
    <xf numFmtId="49" fontId="0" fillId="0" borderId="0" xfId="0" applyNumberFormat="1" applyAlignment="1">
      <alignment wrapText="1"/>
    </xf>
    <xf numFmtId="3" fontId="5" fillId="0" borderId="0" xfId="0" applyNumberFormat="1" applyFont="1"/>
    <xf numFmtId="3" fontId="5" fillId="0" borderId="10" xfId="0" applyNumberFormat="1" applyFont="1" applyBorder="1"/>
    <xf numFmtId="164" fontId="5" fillId="0" borderId="19" xfId="2" applyFont="1" applyFill="1" applyBorder="1" applyAlignment="1"/>
    <xf numFmtId="167" fontId="5" fillId="0" borderId="19" xfId="3" applyNumberFormat="1" applyFont="1" applyFill="1" applyBorder="1" applyAlignment="1"/>
    <xf numFmtId="167" fontId="5" fillId="0" borderId="19" xfId="3" applyNumberFormat="1" applyFont="1" applyFill="1" applyBorder="1" applyAlignment="1">
      <alignment horizontal="right"/>
    </xf>
    <xf numFmtId="164" fontId="5" fillId="0" borderId="6" xfId="2" applyFont="1" applyFill="1" applyBorder="1" applyAlignment="1"/>
    <xf numFmtId="3" fontId="5" fillId="0" borderId="11" xfId="0" applyNumberFormat="1" applyFont="1" applyBorder="1"/>
    <xf numFmtId="167" fontId="5" fillId="0" borderId="20" xfId="3" applyNumberFormat="1" applyFont="1" applyFill="1" applyBorder="1" applyAlignment="1"/>
    <xf numFmtId="3" fontId="5" fillId="0" borderId="19" xfId="0" applyNumberFormat="1" applyFont="1" applyBorder="1"/>
    <xf numFmtId="0" fontId="15" fillId="0" borderId="0" xfId="0" applyFont="1" applyAlignment="1">
      <alignment wrapText="1"/>
    </xf>
    <xf numFmtId="165" fontId="10" fillId="0" borderId="0" xfId="2" applyNumberFormat="1" applyFont="1" applyFill="1" applyAlignment="1"/>
    <xf numFmtId="0" fontId="0" fillId="0" borderId="0" xfId="0" applyFill="1"/>
    <xf numFmtId="164" fontId="5" fillId="0" borderId="19" xfId="2" applyFont="1" applyFill="1" applyBorder="1" applyAlignment="1">
      <alignment wrapText="1"/>
    </xf>
    <xf numFmtId="164" fontId="9" fillId="0" borderId="0" xfId="2" applyFont="1" applyFill="1" applyAlignment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Fill="1"/>
    <xf numFmtId="0" fontId="8" fillId="0" borderId="0" xfId="0" applyFont="1" applyAlignment="1">
      <alignment wrapText="1"/>
    </xf>
    <xf numFmtId="0" fontId="21" fillId="0" borderId="21" xfId="0" applyFont="1" applyBorder="1"/>
    <xf numFmtId="0" fontId="21" fillId="0" borderId="19" xfId="0" applyFont="1" applyBorder="1"/>
    <xf numFmtId="3" fontId="21" fillId="0" borderId="19" xfId="0" applyNumberFormat="1" applyFont="1" applyBorder="1" applyAlignment="1">
      <alignment horizontal="right"/>
    </xf>
    <xf numFmtId="3" fontId="21" fillId="0" borderId="19" xfId="0" applyNumberFormat="1" applyFont="1" applyBorder="1"/>
    <xf numFmtId="0" fontId="21" fillId="0" borderId="22" xfId="0" applyFont="1" applyBorder="1"/>
    <xf numFmtId="0" fontId="21" fillId="0" borderId="20" xfId="0" applyFont="1" applyBorder="1"/>
    <xf numFmtId="3" fontId="21" fillId="0" borderId="20" xfId="0" applyNumberFormat="1" applyFont="1" applyBorder="1"/>
    <xf numFmtId="0" fontId="21" fillId="0" borderId="19" xfId="0" applyFont="1" applyBorder="1" applyAlignment="1">
      <alignment horizontal="right"/>
    </xf>
    <xf numFmtId="0" fontId="21" fillId="0" borderId="0" xfId="0" applyFont="1" applyBorder="1"/>
    <xf numFmtId="3" fontId="22" fillId="0" borderId="0" xfId="0" applyNumberFormat="1" applyFont="1" applyBorder="1"/>
    <xf numFmtId="167" fontId="8" fillId="0" borderId="0" xfId="3" applyNumberFormat="1" applyFont="1" applyFill="1" applyAlignment="1"/>
    <xf numFmtId="0" fontId="21" fillId="0" borderId="23" xfId="0" applyFont="1" applyBorder="1"/>
    <xf numFmtId="0" fontId="22" fillId="0" borderId="0" xfId="0" applyFont="1" applyBorder="1"/>
    <xf numFmtId="166" fontId="12" fillId="3" borderId="0" xfId="2" applyNumberFormat="1" applyFont="1" applyFill="1" applyBorder="1" applyAlignment="1"/>
    <xf numFmtId="166" fontId="13" fillId="0" borderId="0" xfId="2" applyNumberFormat="1" applyFont="1" applyFill="1" applyBorder="1" applyAlignment="1"/>
    <xf numFmtId="166" fontId="13" fillId="0" borderId="19" xfId="2" applyNumberFormat="1" applyFont="1" applyFill="1" applyBorder="1" applyAlignment="1"/>
    <xf numFmtId="0" fontId="9" fillId="0" borderId="0" xfId="0" applyFont="1" applyAlignment="1">
      <alignment horizontal="right"/>
    </xf>
    <xf numFmtId="167" fontId="5" fillId="0" borderId="0" xfId="3" applyNumberFormat="1" applyFont="1" applyFill="1" applyAlignment="1"/>
    <xf numFmtId="166" fontId="12" fillId="0" borderId="11" xfId="2" applyNumberFormat="1" applyFont="1" applyFill="1" applyBorder="1" applyAlignment="1"/>
    <xf numFmtId="166" fontId="12" fillId="0" borderId="19" xfId="2" applyNumberFormat="1" applyFont="1" applyFill="1" applyBorder="1" applyAlignment="1"/>
    <xf numFmtId="166" fontId="12" fillId="3" borderId="11" xfId="2" applyNumberFormat="1" applyFont="1" applyFill="1" applyBorder="1" applyAlignment="1"/>
    <xf numFmtId="3" fontId="21" fillId="0" borderId="25" xfId="0" applyNumberFormat="1" applyFont="1" applyBorder="1"/>
    <xf numFmtId="3" fontId="21" fillId="0" borderId="26" xfId="0" applyNumberFormat="1" applyFont="1" applyBorder="1"/>
    <xf numFmtId="164" fontId="8" fillId="0" borderId="0" xfId="2" applyFont="1" applyFill="1" applyAlignment="1">
      <alignment wrapText="1"/>
    </xf>
    <xf numFmtId="166" fontId="13" fillId="0" borderId="25" xfId="2" applyNumberFormat="1" applyFont="1" applyFill="1" applyBorder="1" applyAlignment="1"/>
    <xf numFmtId="164" fontId="5" fillId="0" borderId="20" xfId="2" applyFont="1" applyFill="1" applyBorder="1" applyAlignment="1"/>
    <xf numFmtId="3" fontId="5" fillId="0" borderId="20" xfId="0" applyNumberFormat="1" applyFont="1" applyBorder="1"/>
    <xf numFmtId="164" fontId="5" fillId="5" borderId="0" xfId="2" applyFont="1" applyFill="1" applyAlignment="1"/>
    <xf numFmtId="164" fontId="6" fillId="5" borderId="0" xfId="2" applyFont="1" applyFill="1" applyAlignment="1"/>
    <xf numFmtId="166" fontId="12" fillId="6" borderId="9" xfId="2" applyNumberFormat="1" applyFont="1" applyFill="1" applyBorder="1" applyAlignment="1"/>
    <xf numFmtId="166" fontId="12" fillId="7" borderId="9" xfId="2" applyNumberFormat="1" applyFont="1" applyFill="1" applyBorder="1" applyAlignment="1"/>
    <xf numFmtId="3" fontId="26" fillId="0" borderId="19" xfId="0" applyNumberFormat="1" applyFont="1" applyBorder="1"/>
    <xf numFmtId="166" fontId="27" fillId="0" borderId="9" xfId="2" applyNumberFormat="1" applyFont="1" applyFill="1" applyBorder="1" applyAlignment="1"/>
    <xf numFmtId="166" fontId="27" fillId="0" borderId="10" xfId="2" applyNumberFormat="1" applyFont="1" applyFill="1" applyBorder="1" applyAlignment="1"/>
    <xf numFmtId="166" fontId="27" fillId="0" borderId="11" xfId="2" applyNumberFormat="1" applyFont="1" applyFill="1" applyBorder="1" applyAlignment="1"/>
    <xf numFmtId="0" fontId="0" fillId="0" borderId="0" xfId="0"/>
    <xf numFmtId="164" fontId="10" fillId="0" borderId="0" xfId="2" applyFont="1" applyFill="1" applyAlignment="1">
      <alignment horizontal="center"/>
    </xf>
    <xf numFmtId="167" fontId="5" fillId="0" borderId="0" xfId="3" applyNumberFormat="1" applyFont="1" applyFill="1" applyBorder="1" applyAlignment="1"/>
    <xf numFmtId="169" fontId="5" fillId="0" borderId="0" xfId="3" applyFont="1" applyFill="1" applyAlignment="1"/>
    <xf numFmtId="164" fontId="5" fillId="0" borderId="0" xfId="2" applyFont="1" applyFill="1" applyBorder="1" applyAlignment="1"/>
    <xf numFmtId="164" fontId="25" fillId="0" borderId="0" xfId="2" applyFont="1" applyFill="1" applyAlignment="1"/>
    <xf numFmtId="164" fontId="24" fillId="0" borderId="0" xfId="2" applyFont="1" applyFill="1" applyBorder="1" applyAlignment="1"/>
    <xf numFmtId="0" fontId="9" fillId="0" borderId="0" xfId="0" applyFont="1" applyBorder="1"/>
    <xf numFmtId="164" fontId="10" fillId="0" borderId="0" xfId="2" applyFont="1" applyFill="1" applyAlignment="1">
      <alignment horizontal="center"/>
    </xf>
    <xf numFmtId="3" fontId="5" fillId="0" borderId="19" xfId="2" applyNumberFormat="1" applyFont="1" applyFill="1" applyBorder="1" applyAlignment="1"/>
    <xf numFmtId="164" fontId="32" fillId="0" borderId="0" xfId="2" applyFont="1" applyFill="1" applyAlignment="1">
      <alignment wrapText="1"/>
    </xf>
    <xf numFmtId="164" fontId="32" fillId="0" borderId="0" xfId="2" applyFont="1" applyFill="1" applyAlignment="1"/>
    <xf numFmtId="3" fontId="33" fillId="0" borderId="19" xfId="2" applyNumberFormat="1" applyFont="1" applyFill="1" applyBorder="1" applyAlignment="1"/>
    <xf numFmtId="164" fontId="9" fillId="0" borderId="35" xfId="2" applyFont="1" applyFill="1" applyBorder="1" applyAlignment="1">
      <alignment horizontal="center" vertical="top" wrapText="1"/>
    </xf>
    <xf numFmtId="164" fontId="9" fillId="0" borderId="34" xfId="2" applyFont="1" applyFill="1" applyBorder="1" applyAlignment="1">
      <alignment horizontal="center" vertical="top" wrapText="1"/>
    </xf>
    <xf numFmtId="164" fontId="9" fillId="0" borderId="33" xfId="2" applyFont="1" applyFill="1" applyBorder="1" applyAlignment="1">
      <alignment horizontal="center" vertical="top" wrapText="1"/>
    </xf>
    <xf numFmtId="0" fontId="34" fillId="0" borderId="0" xfId="14"/>
    <xf numFmtId="164" fontId="8" fillId="0" borderId="0" xfId="2" applyFont="1" applyFill="1" applyAlignment="1">
      <alignment horizontal="center"/>
    </xf>
    <xf numFmtId="164" fontId="5" fillId="0" borderId="10" xfId="2" applyFont="1" applyFill="1" applyBorder="1" applyAlignment="1">
      <alignment wrapText="1"/>
    </xf>
    <xf numFmtId="164" fontId="18" fillId="0" borderId="0" xfId="2" applyFont="1" applyFill="1" applyAlignment="1"/>
    <xf numFmtId="164" fontId="8" fillId="0" borderId="13" xfId="2" applyFont="1" applyFill="1" applyBorder="1" applyAlignment="1">
      <alignment horizontal="center"/>
    </xf>
    <xf numFmtId="164" fontId="9" fillId="0" borderId="14" xfId="2" applyFont="1" applyFill="1" applyBorder="1" applyAlignment="1">
      <alignment horizontal="center" vertical="top" wrapText="1"/>
    </xf>
    <xf numFmtId="164" fontId="9" fillId="0" borderId="15" xfId="2" applyFont="1" applyFill="1" applyBorder="1" applyAlignment="1">
      <alignment horizontal="center" vertical="top" wrapText="1"/>
    </xf>
    <xf numFmtId="164" fontId="9" fillId="0" borderId="16" xfId="2" applyFont="1" applyFill="1" applyBorder="1" applyAlignment="1">
      <alignment horizontal="center" vertical="top" wrapText="1"/>
    </xf>
    <xf numFmtId="164" fontId="9" fillId="0" borderId="17" xfId="2" applyFont="1" applyFill="1" applyBorder="1" applyAlignment="1">
      <alignment horizontal="center" vertical="top" wrapText="1"/>
    </xf>
    <xf numFmtId="164" fontId="5" fillId="0" borderId="3" xfId="2" applyFont="1" applyFill="1" applyBorder="1" applyAlignment="1">
      <alignment vertical="top" wrapText="1"/>
    </xf>
    <xf numFmtId="164" fontId="9" fillId="0" borderId="18" xfId="2" applyFont="1" applyFill="1" applyBorder="1" applyAlignment="1">
      <alignment horizontal="center" vertical="top" wrapText="1"/>
    </xf>
    <xf numFmtId="164" fontId="8" fillId="4" borderId="5" xfId="2" applyFont="1" applyFill="1" applyBorder="1" applyAlignment="1">
      <alignment vertical="top" wrapText="1"/>
    </xf>
    <xf numFmtId="164" fontId="19" fillId="4" borderId="17" xfId="2" applyFont="1" applyFill="1" applyBorder="1" applyAlignment="1">
      <alignment horizontal="right" vertical="top" wrapText="1"/>
    </xf>
    <xf numFmtId="164" fontId="9" fillId="0" borderId="5" xfId="2" applyFont="1" applyFill="1" applyBorder="1" applyAlignment="1">
      <alignment vertical="top" wrapText="1"/>
    </xf>
    <xf numFmtId="164" fontId="20" fillId="0" borderId="17" xfId="2" applyFont="1" applyFill="1" applyBorder="1" applyAlignment="1">
      <alignment horizontal="right" vertical="top" wrapText="1"/>
    </xf>
    <xf numFmtId="164" fontId="8" fillId="0" borderId="0" xfId="2" applyFont="1" applyFill="1" applyBorder="1" applyAlignment="1">
      <alignment horizontal="center"/>
    </xf>
    <xf numFmtId="164" fontId="20" fillId="0" borderId="24" xfId="2" applyFont="1" applyFill="1" applyBorder="1" applyAlignment="1">
      <alignment horizontal="right" vertical="top" wrapText="1"/>
    </xf>
    <xf numFmtId="164" fontId="9" fillId="0" borderId="27" xfId="2" applyFont="1" applyFill="1" applyBorder="1" applyAlignment="1">
      <alignment horizontal="center" vertical="top" wrapText="1"/>
    </xf>
    <xf numFmtId="164" fontId="9" fillId="0" borderId="28" xfId="2" applyFont="1" applyFill="1" applyBorder="1" applyAlignment="1">
      <alignment horizontal="center" vertical="top" wrapText="1"/>
    </xf>
    <xf numFmtId="164" fontId="9" fillId="0" borderId="19" xfId="2" applyFont="1" applyFill="1" applyBorder="1" applyAlignment="1">
      <alignment horizontal="center" vertical="top" wrapText="1"/>
    </xf>
    <xf numFmtId="164" fontId="9" fillId="0" borderId="29" xfId="2" applyFont="1" applyFill="1" applyBorder="1" applyAlignment="1">
      <alignment vertical="top" wrapText="1"/>
    </xf>
    <xf numFmtId="164" fontId="8" fillId="4" borderId="29" xfId="2" applyFont="1" applyFill="1" applyBorder="1" applyAlignment="1">
      <alignment vertical="top" wrapText="1"/>
    </xf>
    <xf numFmtId="164" fontId="20" fillId="0" borderId="30" xfId="2" applyFont="1" applyFill="1" applyBorder="1" applyAlignment="1">
      <alignment horizontal="right" vertical="top" wrapText="1"/>
    </xf>
    <xf numFmtId="164" fontId="19" fillId="4" borderId="30" xfId="2" applyFont="1" applyFill="1" applyBorder="1" applyAlignment="1">
      <alignment horizontal="right" vertical="top" wrapText="1"/>
    </xf>
    <xf numFmtId="164" fontId="19" fillId="4" borderId="28" xfId="2" applyFont="1" applyFill="1" applyBorder="1" applyAlignment="1">
      <alignment horizontal="right" vertical="top" wrapText="1"/>
    </xf>
    <xf numFmtId="164" fontId="20" fillId="0" borderId="19" xfId="2" applyFont="1" applyFill="1" applyBorder="1" applyAlignment="1">
      <alignment horizontal="right" vertical="top" wrapText="1"/>
    </xf>
    <xf numFmtId="164" fontId="19" fillId="4" borderId="19" xfId="2" applyFont="1" applyFill="1" applyBorder="1" applyAlignment="1">
      <alignment horizontal="right" vertical="top" wrapText="1"/>
    </xf>
    <xf numFmtId="164" fontId="20" fillId="0" borderId="0" xfId="2" applyFont="1" applyFill="1" applyBorder="1" applyAlignment="1">
      <alignment horizontal="right" vertical="top" wrapText="1"/>
    </xf>
    <xf numFmtId="164" fontId="9" fillId="0" borderId="31" xfId="2" applyFont="1" applyFill="1" applyBorder="1" applyAlignment="1">
      <alignment horizontal="center" vertical="top" wrapText="1"/>
    </xf>
    <xf numFmtId="164" fontId="19" fillId="4" borderId="27" xfId="2" applyFont="1" applyFill="1" applyBorder="1" applyAlignment="1">
      <alignment horizontal="right" vertical="top" wrapText="1"/>
    </xf>
    <xf numFmtId="164" fontId="20" fillId="0" borderId="27" xfId="2" applyFont="1" applyFill="1" applyBorder="1" applyAlignment="1">
      <alignment horizontal="right" vertical="top" wrapText="1"/>
    </xf>
    <xf numFmtId="164" fontId="20" fillId="0" borderId="25" xfId="2" applyFont="1" applyFill="1" applyBorder="1" applyAlignment="1">
      <alignment horizontal="right" vertical="top" wrapText="1"/>
    </xf>
    <xf numFmtId="164" fontId="19" fillId="4" borderId="25" xfId="2" applyFont="1" applyFill="1" applyBorder="1" applyAlignment="1">
      <alignment horizontal="right" vertical="top" wrapText="1"/>
    </xf>
    <xf numFmtId="164" fontId="9" fillId="0" borderId="32" xfId="2" applyFont="1" applyFill="1" applyBorder="1" applyAlignment="1">
      <alignment horizontal="center" vertical="top" wrapText="1"/>
    </xf>
    <xf numFmtId="164" fontId="20" fillId="0" borderId="28" xfId="2" applyFont="1" applyFill="1" applyBorder="1" applyAlignment="1">
      <alignment horizontal="right" vertical="top" wrapText="1"/>
    </xf>
    <xf numFmtId="0" fontId="0" fillId="0" borderId="0" xfId="0"/>
    <xf numFmtId="0" fontId="0" fillId="0" borderId="0" xfId="0"/>
    <xf numFmtId="167" fontId="35" fillId="0" borderId="19" xfId="3" applyNumberFormat="1" applyFont="1" applyBorder="1"/>
    <xf numFmtId="49" fontId="0" fillId="0" borderId="0" xfId="0" applyNumberFormat="1" applyBorder="1"/>
    <xf numFmtId="164" fontId="6" fillId="0" borderId="0" xfId="2" applyFont="1" applyFill="1" applyBorder="1" applyAlignment="1"/>
    <xf numFmtId="167" fontId="35" fillId="0" borderId="0" xfId="3" applyNumberFormat="1" applyFont="1" applyBorder="1"/>
    <xf numFmtId="49" fontId="0" fillId="0" borderId="0" xfId="0" applyNumberFormat="1" applyBorder="1" applyAlignment="1">
      <alignment wrapText="1"/>
    </xf>
    <xf numFmtId="49" fontId="5" fillId="0" borderId="0" xfId="0" applyNumberFormat="1" applyFont="1" applyBorder="1" applyAlignment="1">
      <alignment wrapText="1"/>
    </xf>
    <xf numFmtId="164" fontId="5" fillId="0" borderId="0" xfId="2" applyFont="1" applyFill="1" applyBorder="1" applyAlignment="1">
      <alignment wrapText="1"/>
    </xf>
    <xf numFmtId="167" fontId="10" fillId="0" borderId="0" xfId="3" applyNumberFormat="1" applyFont="1" applyFill="1" applyAlignment="1"/>
    <xf numFmtId="164" fontId="10" fillId="0" borderId="0" xfId="2" applyFont="1" applyFill="1" applyAlignment="1"/>
    <xf numFmtId="167" fontId="10" fillId="0" borderId="38" xfId="3" applyNumberFormat="1" applyFont="1" applyFill="1" applyBorder="1" applyAlignment="1"/>
    <xf numFmtId="0" fontId="0" fillId="0" borderId="0" xfId="0"/>
    <xf numFmtId="0" fontId="36" fillId="8" borderId="0" xfId="0" applyFont="1" applyFill="1" applyAlignment="1">
      <alignment horizontal="center" vertical="top" wrapText="1"/>
    </xf>
    <xf numFmtId="0" fontId="38" fillId="0" borderId="19" xfId="0" applyFont="1" applyBorder="1" applyAlignment="1">
      <alignment horizontal="left" vertical="top" wrapText="1"/>
    </xf>
    <xf numFmtId="3" fontId="38" fillId="0" borderId="19" xfId="0" applyNumberFormat="1" applyFont="1" applyBorder="1" applyAlignment="1">
      <alignment horizontal="right" vertical="top" wrapText="1"/>
    </xf>
    <xf numFmtId="0" fontId="37" fillId="0" borderId="19" xfId="0" applyFont="1" applyBorder="1" applyAlignment="1">
      <alignment horizontal="left" vertical="top" wrapText="1"/>
    </xf>
    <xf numFmtId="3" fontId="37" fillId="0" borderId="19" xfId="0" applyNumberFormat="1" applyFont="1" applyBorder="1" applyAlignment="1">
      <alignment horizontal="right" vertical="top" wrapText="1"/>
    </xf>
    <xf numFmtId="0" fontId="38" fillId="0" borderId="0" xfId="0" applyFont="1" applyAlignment="1">
      <alignment horizontal="left" vertical="top" wrapText="1"/>
    </xf>
    <xf numFmtId="3" fontId="38" fillId="0" borderId="0" xfId="0" applyNumberFormat="1" applyFont="1" applyAlignment="1">
      <alignment horizontal="right" vertical="top" wrapText="1"/>
    </xf>
    <xf numFmtId="0" fontId="38" fillId="0" borderId="0" xfId="0" applyFont="1" applyBorder="1" applyAlignment="1">
      <alignment horizontal="left" vertical="top" wrapText="1"/>
    </xf>
    <xf numFmtId="3" fontId="38" fillId="0" borderId="0" xfId="0" applyNumberFormat="1" applyFont="1" applyBorder="1" applyAlignment="1">
      <alignment horizontal="right" vertical="top" wrapText="1"/>
    </xf>
    <xf numFmtId="0" fontId="27" fillId="8" borderId="0" xfId="0" applyFont="1" applyFill="1" applyAlignment="1">
      <alignment horizontal="center" vertical="top" wrapText="1"/>
    </xf>
    <xf numFmtId="0" fontId="0" fillId="0" borderId="19" xfId="0" applyBorder="1"/>
    <xf numFmtId="0" fontId="2" fillId="0" borderId="0" xfId="15"/>
    <xf numFmtId="0" fontId="40" fillId="0" borderId="0" xfId="15" applyFont="1"/>
    <xf numFmtId="0" fontId="2" fillId="0" borderId="19" xfId="15" applyBorder="1" applyAlignment="1">
      <alignment wrapText="1"/>
    </xf>
    <xf numFmtId="3" fontId="2" fillId="0" borderId="19" xfId="15" applyNumberFormat="1" applyBorder="1"/>
    <xf numFmtId="0" fontId="2" fillId="0" borderId="19" xfId="15" applyBorder="1"/>
    <xf numFmtId="0" fontId="40" fillId="0" borderId="0" xfId="15" applyFont="1" applyAlignment="1">
      <alignment wrapText="1"/>
    </xf>
    <xf numFmtId="3" fontId="40" fillId="0" borderId="0" xfId="15" applyNumberFormat="1" applyFont="1"/>
    <xf numFmtId="0" fontId="40" fillId="0" borderId="19" xfId="15" applyFont="1" applyBorder="1" applyAlignment="1">
      <alignment wrapText="1"/>
    </xf>
    <xf numFmtId="0" fontId="40" fillId="0" borderId="0" xfId="15" applyFont="1" applyAlignment="1">
      <alignment horizontal="right"/>
    </xf>
    <xf numFmtId="0" fontId="40" fillId="0" borderId="0" xfId="15" applyFont="1" applyAlignment="1">
      <alignment horizontal="center"/>
    </xf>
    <xf numFmtId="0" fontId="40" fillId="0" borderId="19" xfId="15" applyFont="1" applyBorder="1"/>
    <xf numFmtId="166" fontId="58" fillId="31" borderId="10" xfId="2" applyNumberFormat="1" applyFont="1" applyFill="1" applyBorder="1" applyAlignment="1"/>
    <xf numFmtId="166" fontId="58" fillId="31" borderId="9" xfId="2" applyNumberFormat="1" applyFont="1" applyFill="1" applyBorder="1" applyAlignment="1"/>
    <xf numFmtId="164" fontId="8" fillId="0" borderId="0" xfId="2" applyFont="1" applyFill="1" applyAlignment="1">
      <alignment horizontal="center"/>
    </xf>
    <xf numFmtId="164" fontId="6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0" fontId="0" fillId="0" borderId="0" xfId="0"/>
    <xf numFmtId="164" fontId="25" fillId="0" borderId="0" xfId="2" applyFont="1" applyFill="1" applyAlignment="1">
      <alignment horizontal="center"/>
    </xf>
    <xf numFmtId="164" fontId="10" fillId="0" borderId="0" xfId="2" applyFont="1" applyFill="1" applyAlignment="1">
      <alignment horizontal="center"/>
    </xf>
    <xf numFmtId="164" fontId="11" fillId="2" borderId="27" xfId="2" applyFont="1" applyFill="1" applyBorder="1" applyAlignment="1">
      <alignment horizontal="center" wrapText="1"/>
    </xf>
    <xf numFmtId="164" fontId="9" fillId="0" borderId="36" xfId="2" applyFont="1" applyFill="1" applyBorder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164" fontId="8" fillId="0" borderId="0" xfId="2" applyFont="1" applyFill="1" applyAlignment="1">
      <alignment horizont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9" fillId="0" borderId="0" xfId="0" applyFont="1" applyAlignment="1">
      <alignment horizontal="center"/>
    </xf>
    <xf numFmtId="0" fontId="41" fillId="0" borderId="0" xfId="15" applyFont="1" applyAlignment="1">
      <alignment horizontal="center"/>
    </xf>
    <xf numFmtId="0" fontId="41" fillId="0" borderId="0" xfId="15" applyFont="1" applyAlignment="1">
      <alignment horizontal="center" wrapText="1"/>
    </xf>
    <xf numFmtId="164" fontId="42" fillId="0" borderId="0" xfId="16" applyFont="1" applyFill="1" applyAlignment="1">
      <alignment horizontal="center" vertical="top" wrapText="1"/>
    </xf>
    <xf numFmtId="0" fontId="40" fillId="0" borderId="0" xfId="15" applyFont="1" applyAlignment="1">
      <alignment horizontal="center" wrapText="1"/>
    </xf>
    <xf numFmtId="0" fontId="40" fillId="0" borderId="0" xfId="15" applyFont="1" applyAlignment="1">
      <alignment horizontal="center"/>
    </xf>
    <xf numFmtId="0" fontId="40" fillId="0" borderId="19" xfId="15" applyFont="1" applyBorder="1" applyAlignment="1">
      <alignment horizontal="left" wrapText="1"/>
    </xf>
    <xf numFmtId="0" fontId="40" fillId="0" borderId="19" xfId="15" applyFont="1" applyBorder="1" applyAlignment="1">
      <alignment horizontal="left"/>
    </xf>
  </cellXfs>
  <cellStyles count="60">
    <cellStyle name="20% - 1. jelölőszín 2" xfId="17"/>
    <cellStyle name="20% - 2. jelölőszín 2" xfId="18"/>
    <cellStyle name="20% - 3. jelölőszín 2" xfId="19"/>
    <cellStyle name="20% - 4. jelölőszín 2" xfId="20"/>
    <cellStyle name="20% - 5. jelölőszín 2" xfId="21"/>
    <cellStyle name="20% - 6. jelölőszín 2" xfId="22"/>
    <cellStyle name="40% - 1. jelölőszín 2" xfId="23"/>
    <cellStyle name="40% - 2. jelölőszín 2" xfId="24"/>
    <cellStyle name="40% - 3. jelölőszín 2" xfId="25"/>
    <cellStyle name="40% - 4. jelölőszín 2" xfId="26"/>
    <cellStyle name="40% - 5. jelölőszín 2" xfId="27"/>
    <cellStyle name="40% - 6. jelölőszín 2" xfId="28"/>
    <cellStyle name="60% - 1. jelölőszín 2" xfId="29"/>
    <cellStyle name="60% - 2. jelölőszín 2" xfId="30"/>
    <cellStyle name="60% - 3. jelölőszín 2" xfId="31"/>
    <cellStyle name="60% - 4. jelölőszín 2" xfId="32"/>
    <cellStyle name="60% - 5. jelölőszín 2" xfId="33"/>
    <cellStyle name="60% - 6. jelölőszín 2" xfId="34"/>
    <cellStyle name="Bevitel 2" xfId="35"/>
    <cellStyle name="Cím 2" xfId="36"/>
    <cellStyle name="Címsor 1 2" xfId="37"/>
    <cellStyle name="Címsor 2 2" xfId="38"/>
    <cellStyle name="Címsor 3 2" xfId="39"/>
    <cellStyle name="Címsor 4 2" xfId="40"/>
    <cellStyle name="Ellenőrzőcella 2" xfId="41"/>
    <cellStyle name="Excel Built-in Comma" xfId="1"/>
    <cellStyle name="Excel Built-in Normal" xfId="2"/>
    <cellStyle name="Excel Built-in Normal 2" xfId="42"/>
    <cellStyle name="Excel Built-in Normal 3" xfId="16"/>
    <cellStyle name="Ezres" xfId="3" builtinId="3" customBuiltin="1"/>
    <cellStyle name="Ezres 2" xfId="13"/>
    <cellStyle name="Ezres 3" xfId="43"/>
    <cellStyle name="Figyelmeztetés 2" xfId="44"/>
    <cellStyle name="Heading" xfId="4"/>
    <cellStyle name="Heading1" xfId="5"/>
    <cellStyle name="Hivatkozott cella 2" xfId="45"/>
    <cellStyle name="Jegyzet 2" xfId="46"/>
    <cellStyle name="Jelölőszín (1) 2" xfId="47"/>
    <cellStyle name="Jelölőszín (2) 2" xfId="48"/>
    <cellStyle name="Jelölőszín (3) 2" xfId="49"/>
    <cellStyle name="Jelölőszín (4) 2" xfId="50"/>
    <cellStyle name="Jelölőszín (5) 2" xfId="51"/>
    <cellStyle name="Jelölőszín (6) 2" xfId="52"/>
    <cellStyle name="Jó 2" xfId="53"/>
    <cellStyle name="Kimenet 2" xfId="54"/>
    <cellStyle name="Magyarázó szöveg 2" xfId="55"/>
    <cellStyle name="Normál" xfId="0" builtinId="0" customBuiltin="1"/>
    <cellStyle name="Normál 2" xfId="6"/>
    <cellStyle name="Normál 2 2" xfId="7"/>
    <cellStyle name="Normál 3" xfId="8"/>
    <cellStyle name="Normál 4" xfId="9"/>
    <cellStyle name="Normál 5" xfId="14"/>
    <cellStyle name="Normál 6" xfId="12"/>
    <cellStyle name="Normál 7" xfId="15"/>
    <cellStyle name="Összesen 2" xfId="56"/>
    <cellStyle name="Result" xfId="10"/>
    <cellStyle name="Result2" xfId="11"/>
    <cellStyle name="Rossz 2" xfId="57"/>
    <cellStyle name="Semleges 2" xfId="58"/>
    <cellStyle name="Számítás 2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2015\koncepci&#243;\&#225;tn&#233;zett%20tervek\T&#225;rsul&#225;s%20k&#246;lts&#233;gvet&#233;si%20terv%202015.%20&#233;v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3IQVGSZ2\2015%20%20normat&#237;va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KESZI költségvetés"/>
      <sheetName val="KGYCSSZK költségvetés"/>
      <sheetName val="Munka2"/>
      <sheetName val="Munka3"/>
    </sheetNames>
    <sheetDataSet>
      <sheetData sheetId="0" refreshError="1">
        <row r="6">
          <cell r="C6">
            <v>1000000</v>
          </cell>
        </row>
        <row r="11">
          <cell r="C11">
            <v>511700</v>
          </cell>
        </row>
        <row r="19">
          <cell r="C19">
            <v>12821300</v>
          </cell>
        </row>
        <row r="24">
          <cell r="C24">
            <v>6127000</v>
          </cell>
        </row>
        <row r="25">
          <cell r="C25">
            <v>18060000</v>
          </cell>
        </row>
        <row r="33">
          <cell r="C33">
            <v>459599366</v>
          </cell>
        </row>
        <row r="44">
          <cell r="C44">
            <v>10091000</v>
          </cell>
        </row>
        <row r="45">
          <cell r="C45">
            <v>1900332</v>
          </cell>
        </row>
        <row r="46">
          <cell r="C46">
            <v>481128034</v>
          </cell>
        </row>
        <row r="47">
          <cell r="C47">
            <v>321246496</v>
          </cell>
        </row>
        <row r="65">
          <cell r="C65">
            <v>5000000</v>
          </cell>
        </row>
      </sheetData>
      <sheetData sheetId="1" refreshError="1">
        <row r="9">
          <cell r="D9">
            <v>286274</v>
          </cell>
        </row>
        <row r="10">
          <cell r="D10">
            <v>77778</v>
          </cell>
        </row>
        <row r="16">
          <cell r="D16">
            <v>188626</v>
          </cell>
        </row>
        <row r="17">
          <cell r="D17">
            <v>700</v>
          </cell>
        </row>
        <row r="18">
          <cell r="D18">
            <v>2435</v>
          </cell>
        </row>
        <row r="21">
          <cell r="D21">
            <v>30591</v>
          </cell>
        </row>
        <row r="22">
          <cell r="D22">
            <v>197930</v>
          </cell>
        </row>
        <row r="23">
          <cell r="D23">
            <v>4102</v>
          </cell>
        </row>
        <row r="24">
          <cell r="D24">
            <v>2435</v>
          </cell>
        </row>
        <row r="25">
          <cell r="D25">
            <v>231946</v>
          </cell>
        </row>
        <row r="26">
          <cell r="D26">
            <v>12615</v>
          </cell>
        </row>
        <row r="27">
          <cell r="D27">
            <v>72513</v>
          </cell>
        </row>
        <row r="28">
          <cell r="D28">
            <v>3681</v>
          </cell>
        </row>
      </sheetData>
      <sheetData sheetId="2" refreshError="1">
        <row r="4">
          <cell r="F4">
            <v>97862314</v>
          </cell>
        </row>
        <row r="5">
          <cell r="F5">
            <v>24495052</v>
          </cell>
        </row>
        <row r="19">
          <cell r="F19">
            <v>18677000</v>
          </cell>
        </row>
        <row r="20">
          <cell r="F20">
            <v>420000</v>
          </cell>
        </row>
        <row r="23">
          <cell r="F23">
            <v>370000</v>
          </cell>
        </row>
        <row r="24">
          <cell r="F24">
            <v>700000</v>
          </cell>
        </row>
        <row r="25">
          <cell r="F25">
            <v>1540000</v>
          </cell>
        </row>
        <row r="27">
          <cell r="F27">
            <v>138844366</v>
          </cell>
        </row>
        <row r="31">
          <cell r="F31">
            <v>7282500</v>
          </cell>
        </row>
        <row r="32">
          <cell r="F32">
            <v>42261266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Munka1 (2)"/>
    </sheetNames>
    <sheetDataSet>
      <sheetData sheetId="0" refreshError="1">
        <row r="6">
          <cell r="E6">
            <v>20547110</v>
          </cell>
        </row>
        <row r="7">
          <cell r="E7">
            <v>21847500</v>
          </cell>
        </row>
        <row r="8">
          <cell r="E8">
            <v>20547110</v>
          </cell>
        </row>
        <row r="9">
          <cell r="E9">
            <v>15196800</v>
          </cell>
        </row>
        <row r="18">
          <cell r="E18">
            <v>25941696</v>
          </cell>
        </row>
        <row r="19">
          <cell r="E19">
            <v>36192000</v>
          </cell>
        </row>
        <row r="20">
          <cell r="E20">
            <v>6213000</v>
          </cell>
        </row>
        <row r="21">
          <cell r="E21">
            <v>6050000</v>
          </cell>
        </row>
        <row r="22">
          <cell r="E22">
            <v>3520000</v>
          </cell>
        </row>
        <row r="23">
          <cell r="E23">
            <v>15400000</v>
          </cell>
        </row>
        <row r="24">
          <cell r="E24">
            <v>8903520</v>
          </cell>
        </row>
        <row r="25">
          <cell r="E25">
            <v>20607400</v>
          </cell>
        </row>
        <row r="26">
          <cell r="E26">
            <v>83393280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workbookViewId="0">
      <selection activeCell="F24" sqref="F24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203" t="s">
        <v>1</v>
      </c>
      <c r="B5" s="203"/>
      <c r="C5" s="2"/>
    </row>
    <row r="6" spans="1:256" x14ac:dyDescent="0.25">
      <c r="A6" s="203" t="s">
        <v>188</v>
      </c>
      <c r="B6" s="203"/>
    </row>
    <row r="7" spans="1:256" x14ac:dyDescent="0.25">
      <c r="A7" s="2"/>
    </row>
    <row r="8" spans="1:256" x14ac:dyDescent="0.25">
      <c r="A8" s="2"/>
    </row>
    <row r="11" spans="1:256" x14ac:dyDescent="0.25">
      <c r="A11" s="203" t="s">
        <v>2</v>
      </c>
      <c r="B11" s="203"/>
    </row>
    <row r="12" spans="1:256" x14ac:dyDescent="0.25">
      <c r="A12" s="203" t="s">
        <v>203</v>
      </c>
      <c r="B12" s="203"/>
    </row>
    <row r="13" spans="1:256" customFormat="1" x14ac:dyDescent="0.25">
      <c r="A13" s="203" t="s">
        <v>432</v>
      </c>
      <c r="B13" s="20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204" t="s">
        <v>3</v>
      </c>
      <c r="B15" s="204"/>
    </row>
    <row r="16" spans="1:256" ht="15.75" x14ac:dyDescent="0.25">
      <c r="A16" s="202" t="s">
        <v>4</v>
      </c>
      <c r="B16" s="202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69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23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B43"/>
  <sheetViews>
    <sheetView tabSelected="1" topLeftCell="C4" workbookViewId="0">
      <selection activeCell="P17" sqref="P17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8" width="16.625" style="1" customWidth="1"/>
    <col min="9" max="9" width="11.875" style="1" bestFit="1" customWidth="1"/>
    <col min="10" max="11" width="11.375" style="1" bestFit="1" customWidth="1"/>
    <col min="12" max="17" width="11.375" style="1" customWidth="1"/>
    <col min="18" max="16384" width="8.75" style="1"/>
  </cols>
  <sheetData>
    <row r="1" spans="1:262" x14ac:dyDescent="0.25">
      <c r="B1" s="206" t="s">
        <v>12</v>
      </c>
      <c r="C1" s="206"/>
      <c r="D1" s="3"/>
      <c r="E1" s="3"/>
      <c r="F1" s="3"/>
      <c r="G1" s="3"/>
      <c r="H1" s="3"/>
    </row>
    <row r="2" spans="1:262" x14ac:dyDescent="0.25">
      <c r="B2" s="2"/>
    </row>
    <row r="3" spans="1:262" x14ac:dyDescent="0.25">
      <c r="A3" s="203" t="s">
        <v>1</v>
      </c>
      <c r="B3" s="203"/>
      <c r="C3" s="203"/>
      <c r="D3" s="3"/>
      <c r="E3" s="3"/>
      <c r="F3" s="3"/>
      <c r="G3" s="3"/>
      <c r="H3" s="3"/>
    </row>
    <row r="4" spans="1:262" x14ac:dyDescent="0.25">
      <c r="A4" s="203" t="s">
        <v>188</v>
      </c>
      <c r="B4" s="203"/>
      <c r="C4" s="203"/>
      <c r="D4" s="3"/>
      <c r="E4" s="3"/>
      <c r="F4" s="3"/>
      <c r="G4" s="3"/>
      <c r="H4" s="3"/>
    </row>
    <row r="5" spans="1:262" ht="15.75" x14ac:dyDescent="0.25">
      <c r="A5" s="207" t="s">
        <v>13</v>
      </c>
      <c r="B5" s="207"/>
      <c r="C5" s="207"/>
      <c r="D5" s="12"/>
      <c r="E5" s="12"/>
      <c r="F5" s="12"/>
      <c r="G5" s="12"/>
      <c r="H5" s="12"/>
    </row>
    <row r="6" spans="1:262" ht="15.75" x14ac:dyDescent="0.25">
      <c r="A6" s="207" t="s">
        <v>14</v>
      </c>
      <c r="B6" s="207"/>
      <c r="C6" s="207"/>
      <c r="D6" s="12"/>
      <c r="E6" s="12"/>
      <c r="F6" s="12"/>
      <c r="G6" s="12"/>
      <c r="H6" s="12"/>
    </row>
    <row r="7" spans="1:262" ht="15.75" x14ac:dyDescent="0.25">
      <c r="A7" s="12"/>
      <c r="B7" s="12"/>
      <c r="C7" s="12"/>
      <c r="D7" s="12"/>
      <c r="E7" s="12"/>
      <c r="F7" s="12"/>
      <c r="G7" s="12"/>
      <c r="H7" s="12"/>
    </row>
    <row r="8" spans="1:262" ht="15.75" customHeight="1" x14ac:dyDescent="0.25">
      <c r="A8" s="208" t="s">
        <v>15</v>
      </c>
      <c r="B8" s="208"/>
      <c r="C8" s="208"/>
      <c r="D8" s="13" t="s">
        <v>16</v>
      </c>
      <c r="E8" s="13" t="s">
        <v>17</v>
      </c>
      <c r="F8" s="13"/>
      <c r="G8" s="13" t="s">
        <v>16</v>
      </c>
      <c r="H8" s="13" t="s">
        <v>17</v>
      </c>
      <c r="I8" s="106"/>
      <c r="J8" s="107" t="s">
        <v>16</v>
      </c>
      <c r="K8" s="107" t="s">
        <v>17</v>
      </c>
      <c r="L8" s="107"/>
      <c r="M8" s="107" t="s">
        <v>16</v>
      </c>
      <c r="N8" s="107" t="s">
        <v>17</v>
      </c>
      <c r="O8" s="107"/>
      <c r="P8" s="107" t="s">
        <v>16</v>
      </c>
      <c r="Q8" s="107" t="s">
        <v>17</v>
      </c>
    </row>
    <row r="9" spans="1:262" ht="15.75" x14ac:dyDescent="0.25">
      <c r="A9" s="14" t="s">
        <v>6</v>
      </c>
      <c r="B9" s="14" t="s">
        <v>18</v>
      </c>
      <c r="C9" s="14" t="s">
        <v>18</v>
      </c>
      <c r="D9" s="14" t="s">
        <v>18</v>
      </c>
      <c r="E9" s="14" t="s">
        <v>18</v>
      </c>
      <c r="F9" s="14" t="s">
        <v>167</v>
      </c>
      <c r="G9" s="14" t="s">
        <v>167</v>
      </c>
      <c r="H9" s="14" t="s">
        <v>167</v>
      </c>
      <c r="I9" s="14" t="s">
        <v>199</v>
      </c>
      <c r="J9" s="14" t="s">
        <v>167</v>
      </c>
      <c r="K9" s="14" t="s">
        <v>167</v>
      </c>
      <c r="L9" s="14" t="s">
        <v>199</v>
      </c>
      <c r="M9" s="14" t="s">
        <v>167</v>
      </c>
      <c r="N9" s="14" t="s">
        <v>167</v>
      </c>
      <c r="O9" s="14" t="s">
        <v>216</v>
      </c>
      <c r="P9" s="14" t="s">
        <v>216</v>
      </c>
      <c r="Q9" s="14" t="s">
        <v>216</v>
      </c>
      <c r="R9" s="15" t="s">
        <v>19</v>
      </c>
    </row>
    <row r="10" spans="1:262" ht="33.75" customHeight="1" x14ac:dyDescent="0.25">
      <c r="A10" s="16"/>
      <c r="B10" s="17" t="s">
        <v>20</v>
      </c>
      <c r="C10" s="17" t="s">
        <v>119</v>
      </c>
      <c r="D10" s="17" t="s">
        <v>119</v>
      </c>
      <c r="E10" s="17" t="s">
        <v>119</v>
      </c>
      <c r="F10" s="17" t="s">
        <v>191</v>
      </c>
      <c r="G10" s="17" t="s">
        <v>191</v>
      </c>
      <c r="H10" s="17" t="s">
        <v>191</v>
      </c>
      <c r="I10" s="17" t="s">
        <v>192</v>
      </c>
      <c r="J10" s="17" t="s">
        <v>192</v>
      </c>
      <c r="K10" s="17" t="s">
        <v>200</v>
      </c>
      <c r="L10" s="17" t="s">
        <v>209</v>
      </c>
      <c r="M10" s="17" t="s">
        <v>209</v>
      </c>
      <c r="N10" s="17" t="s">
        <v>209</v>
      </c>
      <c r="O10" s="17"/>
      <c r="P10" s="17"/>
      <c r="Q10" s="17"/>
      <c r="R10" s="18" t="s">
        <v>120</v>
      </c>
    </row>
    <row r="11" spans="1:262" ht="15.75" x14ac:dyDescent="0.25">
      <c r="A11" s="19" t="s">
        <v>21</v>
      </c>
      <c r="B11" s="20">
        <f>'KESZI ktg. mérleg'!B12+'KGYCSSZK ktg. mérleg'!B12+'társulás ktg. mérleg'!B12</f>
        <v>363679.31400000001</v>
      </c>
      <c r="C11" s="20">
        <f>'KESZI ktg. mérleg'!C12+'KGYCSSZK ktg. mérleg'!B12+'társulás ktg. mérleg'!B12</f>
        <v>385136.31400000001</v>
      </c>
      <c r="D11" s="20">
        <f t="shared" ref="D11:D21" si="0">SUM(C11-E11)</f>
        <v>384136.31400000001</v>
      </c>
      <c r="E11" s="20">
        <f>'társulás ktg. mérleg'!B12</f>
        <v>1000</v>
      </c>
      <c r="F11" s="20">
        <f>'KESZI ktg. mérleg'!D12+'KGYCSSZK ktg. mérleg'!C12+'társulás ktg. mérleg'!C12</f>
        <v>396602</v>
      </c>
      <c r="G11" s="20">
        <f>F11-H11</f>
        <v>395602</v>
      </c>
      <c r="H11" s="20">
        <f>'társulás ktg. mérleg'!C12</f>
        <v>1000</v>
      </c>
      <c r="I11" s="20">
        <f>'KESZI ktg. mérleg'!E12+'KGYCSSZK ktg. mérleg'!D12+'társulás ktg. mérleg'!D12</f>
        <v>413848</v>
      </c>
      <c r="J11" s="20">
        <f>I11-K11</f>
        <v>412848</v>
      </c>
      <c r="K11" s="20">
        <v>1000</v>
      </c>
      <c r="L11" s="20">
        <f>'KESZI ktg. mérleg'!F12+'KGYCSSZK ktg. mérleg'!E12+'társulás ktg. mérleg'!E12</f>
        <v>420421</v>
      </c>
      <c r="M11" s="20">
        <f>'KESZI ktg. mérleg'!F12+'KGYCSSZK ktg. mérleg'!E12</f>
        <v>419421</v>
      </c>
      <c r="N11" s="20">
        <f>L11-M11</f>
        <v>1000</v>
      </c>
      <c r="O11" s="20">
        <f>'KESZI ktg. mérleg'!G12+'KGYCSSZK ktg. mérleg'!F12+'társulás ktg. mérleg'!F12</f>
        <v>391796</v>
      </c>
      <c r="P11" s="20">
        <f>'KESZI ktg. mérleg'!G12+'KGYCSSZK ktg. mérleg'!F12</f>
        <v>391606</v>
      </c>
      <c r="Q11" s="20">
        <f>O11-P11</f>
        <v>190</v>
      </c>
      <c r="R11" s="21" t="s">
        <v>22</v>
      </c>
    </row>
    <row r="12" spans="1:262" ht="15.75" x14ac:dyDescent="0.25">
      <c r="A12" s="19" t="s">
        <v>23</v>
      </c>
      <c r="B12" s="20">
        <f>'KESZI ktg. mérleg'!B13+'KGYCSSZK ktg. mérleg'!B13+'társulás ktg. mérleg'!B13</f>
        <v>94973.751999999993</v>
      </c>
      <c r="C12" s="20">
        <f>'KESZI ktg. mérleg'!C13+'KGYCSSZK ktg. mérleg'!B13+'társulás ktg. mérleg'!B13</f>
        <v>102784.75199999999</v>
      </c>
      <c r="D12" s="20">
        <f t="shared" si="0"/>
        <v>102273.052</v>
      </c>
      <c r="E12" s="20">
        <f>'társulás ktg. mérleg'!B13</f>
        <v>511.7</v>
      </c>
      <c r="F12" s="20">
        <f>'KESZI ktg. mérleg'!D13+'KGYCSSZK ktg. mérleg'!C13+'társulás ktg. mérleg'!C13</f>
        <v>105085.7</v>
      </c>
      <c r="G12" s="20">
        <f t="shared" ref="G12:G21" si="1">F12-H12</f>
        <v>104574</v>
      </c>
      <c r="H12" s="20">
        <f>'társulás ktg. mérleg'!C13</f>
        <v>511.7</v>
      </c>
      <c r="I12" s="20">
        <f>'KESZI ktg. mérleg'!E13+'KGYCSSZK ktg. mérleg'!D13+'társulás ktg. mérleg'!D13</f>
        <v>109715</v>
      </c>
      <c r="J12" s="20">
        <f t="shared" ref="J12:J22" si="2">I12-K12</f>
        <v>109203</v>
      </c>
      <c r="K12" s="20">
        <v>512</v>
      </c>
      <c r="L12" s="20">
        <f>'KESZI ktg. mérleg'!F13+'KGYCSSZK ktg. mérleg'!E13+'társulás ktg. mérleg'!E13</f>
        <v>106310</v>
      </c>
      <c r="M12" s="20">
        <f>'KESZI ktg. mérleg'!F13+'KGYCSSZK ktg. mérleg'!E13</f>
        <v>105798</v>
      </c>
      <c r="N12" s="20">
        <f t="shared" ref="N12:N19" si="3">L12-M12</f>
        <v>512</v>
      </c>
      <c r="O12" s="20">
        <f>'KESZI ktg. mérleg'!G13+'KGYCSSZK ktg. mérleg'!F13+'társulás ktg. mérleg'!F13</f>
        <v>104035</v>
      </c>
      <c r="P12" s="20">
        <f>'KESZI ktg. mérleg'!G13+'KGYCSSZK ktg. mérleg'!F13</f>
        <v>103947</v>
      </c>
      <c r="Q12" s="20">
        <f t="shared" ref="Q12:Q19" si="4">O12-P12</f>
        <v>88</v>
      </c>
      <c r="R12" s="21" t="s">
        <v>24</v>
      </c>
    </row>
    <row r="13" spans="1:262" ht="15.75" x14ac:dyDescent="0.25">
      <c r="A13" s="19" t="s">
        <v>25</v>
      </c>
      <c r="B13" s="20">
        <f>'KESZI ktg. mérleg'!B14+'KGYCSSZK ktg. mérleg'!B14+'társulás ktg. mérleg'!B14</f>
        <v>231544.3</v>
      </c>
      <c r="C13" s="20">
        <f>'KESZI ktg. mérleg'!C14+'KGYCSSZK ktg. mérleg'!B14+'társulás ktg. mérleg'!B14</f>
        <v>220124.3</v>
      </c>
      <c r="D13" s="20">
        <f t="shared" si="0"/>
        <v>207303</v>
      </c>
      <c r="E13" s="20">
        <f>'társulás ktg. mérleg'!B14</f>
        <v>12821.3</v>
      </c>
      <c r="F13" s="20">
        <f>'KESZI ktg. mérleg'!D14+'KGYCSSZK ktg. mérleg'!C14+'társulás ktg. mérleg'!C14</f>
        <v>226748</v>
      </c>
      <c r="G13" s="20">
        <f t="shared" si="1"/>
        <v>208567</v>
      </c>
      <c r="H13" s="20">
        <f>'társulás ktg. mérleg'!C14</f>
        <v>18181</v>
      </c>
      <c r="I13" s="20">
        <f>'KESZI ktg. mérleg'!E14+'KGYCSSZK ktg. mérleg'!D14+'társulás ktg. mérleg'!D14</f>
        <v>225629</v>
      </c>
      <c r="J13" s="20">
        <f t="shared" si="2"/>
        <v>208905</v>
      </c>
      <c r="K13" s="20">
        <v>16724</v>
      </c>
      <c r="L13" s="20">
        <f>'KESZI ktg. mérleg'!F14+'KGYCSSZK ktg. mérleg'!E14+'társulás ktg. mérleg'!E14</f>
        <v>229839</v>
      </c>
      <c r="M13" s="20">
        <f>'KESZI ktg. mérleg'!F14+'KGYCSSZK ktg. mérleg'!E14</f>
        <v>208022</v>
      </c>
      <c r="N13" s="20">
        <f t="shared" si="3"/>
        <v>21817</v>
      </c>
      <c r="O13" s="20">
        <f>'KESZI ktg. mérleg'!G14+'KGYCSSZK ktg. mérleg'!F14+'társulás ktg. mérleg'!F14</f>
        <v>211119</v>
      </c>
      <c r="P13" s="20">
        <f>'KESZI ktg. mérleg'!G14+'KGYCSSZK ktg. mérleg'!F14</f>
        <v>200960</v>
      </c>
      <c r="Q13" s="20">
        <f t="shared" si="4"/>
        <v>10159</v>
      </c>
      <c r="R13" s="21" t="s">
        <v>26</v>
      </c>
    </row>
    <row r="14" spans="1:262" ht="15.75" x14ac:dyDescent="0.25">
      <c r="A14" s="19" t="s">
        <v>187</v>
      </c>
      <c r="B14" s="20"/>
      <c r="C14" s="20">
        <f>'KESZI ktg. mérleg'!C15+'KGYCSSZK ktg. mérleg'!B15</f>
        <v>1120</v>
      </c>
      <c r="D14" s="20">
        <f>'KESZI ktg. mérleg'!D15+'KGYCSSZK ktg. mérleg'!C15</f>
        <v>1120</v>
      </c>
      <c r="E14" s="20">
        <v>0</v>
      </c>
      <c r="F14" s="20">
        <f>'KESZI ktg. mérleg'!D15+'KGYCSSZK ktg. mérleg'!C15</f>
        <v>1120</v>
      </c>
      <c r="G14" s="20">
        <v>0</v>
      </c>
      <c r="H14" s="20">
        <v>0</v>
      </c>
      <c r="I14" s="20">
        <v>1120</v>
      </c>
      <c r="J14" s="20">
        <f t="shared" si="2"/>
        <v>1120</v>
      </c>
      <c r="K14" s="20">
        <v>0</v>
      </c>
      <c r="L14" s="20">
        <f>'KESZI ktg. mérleg'!F15+'KGYCSSZK ktg. mérleg'!E15</f>
        <v>1270</v>
      </c>
      <c r="M14" s="20">
        <f>'KESZI ktg. mérleg'!F15+'KGYCSSZK ktg. mérleg'!E15</f>
        <v>1270</v>
      </c>
      <c r="N14" s="20">
        <f t="shared" si="3"/>
        <v>0</v>
      </c>
      <c r="O14" s="20">
        <f>'KESZI ktg. mérleg'!G15+'KGYCSSZK ktg. mérleg'!F15</f>
        <v>1162</v>
      </c>
      <c r="P14" s="20">
        <f>'KESZI ktg. mérleg'!G15+'KGYCSSZK ktg. mérleg'!F15</f>
        <v>1162</v>
      </c>
      <c r="Q14" s="20">
        <f t="shared" si="4"/>
        <v>0</v>
      </c>
      <c r="R14" s="21" t="s">
        <v>28</v>
      </c>
    </row>
    <row r="15" spans="1:262" ht="15.75" x14ac:dyDescent="0.25">
      <c r="A15" s="19" t="s">
        <v>27</v>
      </c>
      <c r="B15" s="20">
        <f>'KESZI ktg. mérleg'!B15+'KGYCSSZK ktg. mérleg'!B15+'társulás ktg. mérleg'!B15</f>
        <v>7117</v>
      </c>
      <c r="C15" s="20">
        <f>'társulás ktg. mérleg'!B15</f>
        <v>6127</v>
      </c>
      <c r="D15" s="20">
        <f t="shared" si="0"/>
        <v>0</v>
      </c>
      <c r="E15" s="20">
        <f>'társulás ktg. mérleg'!B15</f>
        <v>6127</v>
      </c>
      <c r="F15" s="20">
        <f>'társulás ktg. mérleg'!C15</f>
        <v>8247</v>
      </c>
      <c r="G15" s="20">
        <f t="shared" si="1"/>
        <v>0</v>
      </c>
      <c r="H15" s="20">
        <f>'társulás ktg. mérleg'!C15</f>
        <v>8247</v>
      </c>
      <c r="I15" s="20">
        <v>7584</v>
      </c>
      <c r="J15" s="20">
        <f t="shared" si="2"/>
        <v>0</v>
      </c>
      <c r="K15" s="20">
        <v>7584</v>
      </c>
      <c r="L15" s="20">
        <f>'KESZI ktg. mérleg'!F16+'KGYCSSZK ktg. mérleg'!E16+'társulás ktg. mérleg'!E15-2632</f>
        <v>7584</v>
      </c>
      <c r="M15" s="20">
        <v>0</v>
      </c>
      <c r="N15" s="20">
        <f t="shared" si="3"/>
        <v>7584</v>
      </c>
      <c r="O15" s="20">
        <f>'KESZI ktg. mérleg'!G16+'KGYCSSZK ktg. mérleg'!F16+'társulás ktg. mérleg'!F15-O16</f>
        <v>3364</v>
      </c>
      <c r="P15" s="20">
        <v>3364</v>
      </c>
      <c r="Q15" s="20">
        <f t="shared" si="4"/>
        <v>0</v>
      </c>
      <c r="R15" s="21" t="s">
        <v>204</v>
      </c>
    </row>
    <row r="16" spans="1:262" customFormat="1" ht="15.75" x14ac:dyDescent="0.25">
      <c r="A16" s="19" t="s">
        <v>189</v>
      </c>
      <c r="B16" s="20"/>
      <c r="C16" s="20">
        <v>0</v>
      </c>
      <c r="D16" s="20"/>
      <c r="E16" s="20"/>
      <c r="F16" s="20">
        <f>'KESZI ktg. mérleg'!D16+'KGYCSSZK ktg. mérleg'!C16</f>
        <v>512</v>
      </c>
      <c r="G16" s="20">
        <f t="shared" si="1"/>
        <v>512</v>
      </c>
      <c r="H16" s="20">
        <v>0</v>
      </c>
      <c r="I16" s="20">
        <v>2632</v>
      </c>
      <c r="J16" s="20">
        <v>2632</v>
      </c>
      <c r="K16" s="20">
        <v>0</v>
      </c>
      <c r="L16" s="20">
        <v>2632</v>
      </c>
      <c r="M16" s="20">
        <v>2632</v>
      </c>
      <c r="N16" s="20">
        <f t="shared" si="3"/>
        <v>0</v>
      </c>
      <c r="O16" s="20">
        <v>2632</v>
      </c>
      <c r="P16" s="20">
        <v>2632</v>
      </c>
      <c r="Q16" s="20">
        <f t="shared" si="4"/>
        <v>0</v>
      </c>
      <c r="R16" s="21" t="s">
        <v>168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</row>
    <row r="17" spans="1:262" s="114" customFormat="1" ht="15.75" x14ac:dyDescent="0.25">
      <c r="A17" s="19" t="s">
        <v>210</v>
      </c>
      <c r="B17" s="20"/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f>'társulás ktg. mérleg'!E16</f>
        <v>1827</v>
      </c>
      <c r="M17" s="20">
        <v>0</v>
      </c>
      <c r="N17" s="20">
        <f t="shared" si="3"/>
        <v>1827</v>
      </c>
      <c r="O17" s="20">
        <f>'társulás ktg. mérleg'!F16</f>
        <v>1827</v>
      </c>
      <c r="P17" s="20">
        <f>'társulás ktg. mérleg'!F16</f>
        <v>1827</v>
      </c>
      <c r="Q17" s="20">
        <f t="shared" si="4"/>
        <v>0</v>
      </c>
      <c r="R17" s="21" t="s">
        <v>211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</row>
    <row r="18" spans="1:262" ht="30" x14ac:dyDescent="0.25">
      <c r="A18" s="19" t="s">
        <v>29</v>
      </c>
      <c r="B18" s="20">
        <v>0</v>
      </c>
      <c r="C18" s="20">
        <f>'KESZI ktg. mérleg'!C17+'KGYCSSZK ktg. mérleg'!B17+'társulás ktg. mérleg'!B18</f>
        <v>2435</v>
      </c>
      <c r="D18" s="20">
        <f t="shared" si="0"/>
        <v>2435</v>
      </c>
      <c r="E18" s="20">
        <v>0</v>
      </c>
      <c r="F18" s="20">
        <f>'KESZI ktg. mérleg'!D17+'KGYCSSZK ktg. mérleg'!C17+'társulás ktg. mérleg'!C18</f>
        <v>7893</v>
      </c>
      <c r="G18" s="20">
        <f t="shared" si="1"/>
        <v>7893</v>
      </c>
      <c r="H18" s="20">
        <v>0</v>
      </c>
      <c r="I18" s="20">
        <v>8549</v>
      </c>
      <c r="J18" s="20">
        <f t="shared" si="2"/>
        <v>8549</v>
      </c>
      <c r="K18" s="20">
        <v>0</v>
      </c>
      <c r="L18" s="20">
        <f>'KESZI ktg. mérleg'!F17+'KGYCSSZK ktg. mérleg'!E17+'társulás ktg. mérleg'!E18</f>
        <v>13106</v>
      </c>
      <c r="M18" s="20">
        <f>'KESZI ktg. mérleg'!F17+'KGYCSSZK ktg. mérleg'!E17</f>
        <v>13106</v>
      </c>
      <c r="N18" s="20">
        <f t="shared" si="3"/>
        <v>0</v>
      </c>
      <c r="O18" s="20">
        <f>'KESZI ktg. mérleg'!G17+'KGYCSSZK ktg. mérleg'!F17</f>
        <v>12714</v>
      </c>
      <c r="P18" s="20">
        <f>'KESZI ktg. mérleg'!G17+'KGYCSSZK ktg. mérleg'!F17+'társulás ktg. mérleg'!F18</f>
        <v>12714</v>
      </c>
      <c r="Q18" s="20">
        <f t="shared" si="4"/>
        <v>0</v>
      </c>
      <c r="R18" s="22" t="s">
        <v>30</v>
      </c>
    </row>
    <row r="19" spans="1:262" ht="15.75" x14ac:dyDescent="0.25">
      <c r="A19" s="19" t="s">
        <v>31</v>
      </c>
      <c r="B19" s="23">
        <v>0</v>
      </c>
      <c r="C19" s="23">
        <v>0</v>
      </c>
      <c r="D19" s="20">
        <f t="shared" si="0"/>
        <v>0</v>
      </c>
      <c r="E19" s="20">
        <v>0</v>
      </c>
      <c r="F19" s="20">
        <v>0</v>
      </c>
      <c r="G19" s="20">
        <f t="shared" si="1"/>
        <v>0</v>
      </c>
      <c r="H19" s="20">
        <v>0</v>
      </c>
      <c r="I19" s="20">
        <v>0</v>
      </c>
      <c r="J19" s="20">
        <f t="shared" si="2"/>
        <v>0</v>
      </c>
      <c r="K19" s="20">
        <v>0</v>
      </c>
      <c r="L19" s="20">
        <v>0</v>
      </c>
      <c r="M19" s="20">
        <v>0</v>
      </c>
      <c r="N19" s="20">
        <f t="shared" si="3"/>
        <v>0</v>
      </c>
      <c r="O19" s="20">
        <v>0</v>
      </c>
      <c r="P19" s="20">
        <v>0</v>
      </c>
      <c r="Q19" s="20">
        <f t="shared" si="4"/>
        <v>0</v>
      </c>
      <c r="R19" s="21" t="s">
        <v>32</v>
      </c>
    </row>
    <row r="20" spans="1:262" ht="15.75" x14ac:dyDescent="0.25">
      <c r="A20" s="24" t="s">
        <v>33</v>
      </c>
      <c r="B20" s="26">
        <f>SUM(B11:B19)</f>
        <v>697314.36599999992</v>
      </c>
      <c r="C20" s="26">
        <f>SUM(C11:C19)</f>
        <v>717727.36599999992</v>
      </c>
      <c r="D20" s="109">
        <f t="shared" si="0"/>
        <v>697267.36599999992</v>
      </c>
      <c r="E20" s="26">
        <f>SUM(E11:E19)</f>
        <v>20460</v>
      </c>
      <c r="F20" s="92">
        <f>SUM(F11:F19)</f>
        <v>746207.7</v>
      </c>
      <c r="G20" s="92">
        <f>SUM(G11:G19)</f>
        <v>717148</v>
      </c>
      <c r="H20" s="92">
        <f>SUM(H11:H19)</f>
        <v>27939.7</v>
      </c>
      <c r="I20" s="108">
        <f>SUM(I11:I19)</f>
        <v>769077</v>
      </c>
      <c r="J20" s="108">
        <f t="shared" si="2"/>
        <v>743257</v>
      </c>
      <c r="K20" s="92">
        <f>SUM(K11:K19)</f>
        <v>25820</v>
      </c>
      <c r="L20" s="92">
        <f>SUM(L11:L19)</f>
        <v>782989</v>
      </c>
      <c r="M20" s="92">
        <f t="shared" ref="M20:Q20" si="5">SUM(M11:M19)</f>
        <v>750249</v>
      </c>
      <c r="N20" s="92">
        <f t="shared" si="5"/>
        <v>32740</v>
      </c>
      <c r="O20" s="92">
        <f t="shared" si="5"/>
        <v>728649</v>
      </c>
      <c r="P20" s="92">
        <f t="shared" si="5"/>
        <v>718212</v>
      </c>
      <c r="Q20" s="92">
        <f t="shared" si="5"/>
        <v>10437</v>
      </c>
    </row>
    <row r="21" spans="1:262" ht="15.75" x14ac:dyDescent="0.25">
      <c r="A21" s="19" t="s">
        <v>34</v>
      </c>
      <c r="B21" s="28">
        <f>'társulás ktg. mérleg'!B21</f>
        <v>18060</v>
      </c>
      <c r="C21" s="28">
        <f>'társulás ktg. mérleg'!B21</f>
        <v>18060</v>
      </c>
      <c r="D21" s="27">
        <f t="shared" si="0"/>
        <v>17013</v>
      </c>
      <c r="E21" s="28">
        <v>1047</v>
      </c>
      <c r="F21" s="97">
        <f>'társulás ktg. mérleg'!C21</f>
        <v>23631</v>
      </c>
      <c r="G21" s="20">
        <f t="shared" si="1"/>
        <v>22584</v>
      </c>
      <c r="H21" s="97">
        <v>1047</v>
      </c>
      <c r="I21" s="27">
        <v>20524</v>
      </c>
      <c r="J21" s="20">
        <f t="shared" si="2"/>
        <v>0</v>
      </c>
      <c r="K21" s="97">
        <v>20524</v>
      </c>
      <c r="L21" s="97">
        <f>'társulás ktg. mérleg'!E21</f>
        <v>16602</v>
      </c>
      <c r="M21" s="97">
        <v>16602</v>
      </c>
      <c r="N21" s="97">
        <v>0</v>
      </c>
      <c r="O21" s="97">
        <f>'társulás ktg. mérleg'!F21</f>
        <v>0</v>
      </c>
      <c r="P21" s="97"/>
      <c r="Q21" s="97"/>
      <c r="R21" s="66" t="s">
        <v>127</v>
      </c>
    </row>
    <row r="22" spans="1:262" ht="15.75" x14ac:dyDescent="0.25">
      <c r="A22" s="30" t="s">
        <v>37</v>
      </c>
      <c r="B22" s="27">
        <f>B20+B21</f>
        <v>715374.36599999992</v>
      </c>
      <c r="C22" s="27">
        <f>C20+C21</f>
        <v>735787.36599999992</v>
      </c>
      <c r="D22" s="27">
        <f>SUM(C22-E22)</f>
        <v>714280.36599999992</v>
      </c>
      <c r="E22" s="28">
        <f>SUM(E20+E21)</f>
        <v>21507</v>
      </c>
      <c r="F22" s="98">
        <f>SUM(F20:F21)</f>
        <v>769838.7</v>
      </c>
      <c r="G22" s="98">
        <f>SUM(G20:G21)</f>
        <v>739732</v>
      </c>
      <c r="H22" s="98">
        <f>SUM(H20:H21)</f>
        <v>28986.7</v>
      </c>
      <c r="I22" s="27">
        <f>SUM(I20:I21)</f>
        <v>789601</v>
      </c>
      <c r="J22" s="27">
        <f t="shared" si="2"/>
        <v>743257</v>
      </c>
      <c r="K22" s="98">
        <f>SUM(K20:K21)</f>
        <v>46344</v>
      </c>
      <c r="L22" s="98">
        <f>L20+L21</f>
        <v>799591</v>
      </c>
      <c r="M22" s="98">
        <f t="shared" ref="M22:Q22" si="6">M20+M21</f>
        <v>766851</v>
      </c>
      <c r="N22" s="98">
        <f t="shared" si="6"/>
        <v>32740</v>
      </c>
      <c r="O22" s="98">
        <f t="shared" si="6"/>
        <v>728649</v>
      </c>
      <c r="P22" s="98">
        <f t="shared" si="6"/>
        <v>718212</v>
      </c>
      <c r="Q22" s="98">
        <f t="shared" si="6"/>
        <v>10437</v>
      </c>
      <c r="R22" s="63"/>
    </row>
    <row r="23" spans="1:262" ht="15.75" x14ac:dyDescent="0.25">
      <c r="A23" s="31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1:262" ht="15.75" x14ac:dyDescent="0.25">
      <c r="A24" s="19" t="s">
        <v>38</v>
      </c>
      <c r="B24" s="20">
        <f>'KESZI ktg. mérleg'!B23+'KGYCSSZK ktg. mérleg'!B22+'társulás ktg. mérleg'!B24</f>
        <v>203341</v>
      </c>
      <c r="C24" s="20">
        <f>'KESZI ktg. mérleg'!C23+'KGYCSSZK ktg. mérleg'!B22+'társulás ktg. mérleg'!B24</f>
        <v>200170</v>
      </c>
      <c r="D24" s="20">
        <f t="shared" ref="D24:D31" si="7">C24-E24</f>
        <v>200170</v>
      </c>
      <c r="E24" s="20">
        <f>'társulás ktg. mérleg'!B24</f>
        <v>0</v>
      </c>
      <c r="F24" s="20">
        <f>'KESZI ktg. mérleg'!D23+'KGYCSSZK ktg. mérleg'!C22+'társulás ktg. mérleg'!C24</f>
        <v>210335</v>
      </c>
      <c r="G24" s="20">
        <f>F24-H24</f>
        <v>199755</v>
      </c>
      <c r="H24" s="20">
        <f>'társulás ktg. mérleg'!C24</f>
        <v>10580</v>
      </c>
      <c r="I24" s="20">
        <f>'KESZI ktg. mérleg'!E23+'KGYCSSZK ktg. mérleg'!D22+'társulás ktg. mérleg'!D24</f>
        <v>210335</v>
      </c>
      <c r="J24" s="20">
        <f>I24-K24</f>
        <v>199755</v>
      </c>
      <c r="K24" s="20">
        <v>10580</v>
      </c>
      <c r="L24" s="20">
        <f>'KESZI ktg. mérleg'!F23+'KGYCSSZK ktg. mérleg'!E22+'társulás ktg. mérleg'!E24</f>
        <v>220901</v>
      </c>
      <c r="M24" s="20">
        <f>'KESZI ktg. mérleg'!F23+'KGYCSSZK ktg. mérleg'!E22</f>
        <v>211709</v>
      </c>
      <c r="N24" s="20">
        <f>L24-M24</f>
        <v>9192</v>
      </c>
      <c r="O24" s="20">
        <f>'KESZI ktg. mérleg'!G23+'KGYCSSZK ktg. mérleg'!F22+'társulás ktg. mérleg'!F24</f>
        <v>218537</v>
      </c>
      <c r="P24" s="20">
        <f>'KESZI ktg. mérleg'!G23+'KGYCSSZK ktg. mérleg'!F22</f>
        <v>211709</v>
      </c>
      <c r="Q24" s="20">
        <f>O24-P24</f>
        <v>6828</v>
      </c>
      <c r="R24" s="21" t="s">
        <v>39</v>
      </c>
    </row>
    <row r="25" spans="1:262" ht="15.75" x14ac:dyDescent="0.25">
      <c r="A25" s="19" t="s">
        <v>40</v>
      </c>
      <c r="B25" s="20">
        <v>0</v>
      </c>
      <c r="C25" s="20">
        <f>'KESZI ktg. mérleg'!C24+'KGYCSSZK ktg. mérleg'!B23+'társulás ktg. mérleg'!B25</f>
        <v>0</v>
      </c>
      <c r="D25" s="20">
        <f t="shared" si="7"/>
        <v>0</v>
      </c>
      <c r="E25" s="20">
        <v>0</v>
      </c>
      <c r="F25" s="20">
        <f>'társulás ktg. mérleg'!C25</f>
        <v>0</v>
      </c>
      <c r="G25" s="20">
        <f t="shared" ref="G25:G33" si="8">F25-H25</f>
        <v>0</v>
      </c>
      <c r="H25" s="20">
        <f>'KGYCSSZK ktg. mérleg'!C23</f>
        <v>0</v>
      </c>
      <c r="I25" s="20">
        <f>'KESZI ktg. mérleg'!E24+'KGYCSSZK ktg. mérleg'!D23+'társulás ktg. mérleg'!D25</f>
        <v>0</v>
      </c>
      <c r="J25" s="20">
        <f t="shared" ref="J25:J33" si="9">I25-K25</f>
        <v>0</v>
      </c>
      <c r="K25" s="20">
        <v>0</v>
      </c>
      <c r="L25" s="20">
        <v>0</v>
      </c>
      <c r="M25" s="20">
        <v>0</v>
      </c>
      <c r="N25" s="20">
        <f t="shared" ref="N25:N30" si="10">L25-M25</f>
        <v>0</v>
      </c>
      <c r="O25" s="20"/>
      <c r="P25" s="20"/>
      <c r="Q25" s="20">
        <f t="shared" ref="Q25:Q30" si="11">O25-P25</f>
        <v>0</v>
      </c>
      <c r="R25" s="21"/>
    </row>
    <row r="26" spans="1:262" ht="45" x14ac:dyDescent="0.25">
      <c r="A26" s="19" t="s">
        <v>41</v>
      </c>
      <c r="B26" s="20">
        <v>0</v>
      </c>
      <c r="C26" s="20">
        <f>'KESZI ktg. mérleg'!C25+'KGYCSSZK ktg. mérleg'!B24+'társulás ktg. mérleg'!B26</f>
        <v>0</v>
      </c>
      <c r="D26" s="20">
        <f t="shared" si="7"/>
        <v>0</v>
      </c>
      <c r="E26" s="20">
        <f>'társulás ktg. mérleg'!C26</f>
        <v>0</v>
      </c>
      <c r="F26" s="20">
        <f>'KESZI ktg. mérleg'!D24+'KGYCSSZK ktg. mérleg'!C23+'társulás ktg. mérleg'!C26</f>
        <v>0</v>
      </c>
      <c r="G26" s="20">
        <f t="shared" si="8"/>
        <v>0</v>
      </c>
      <c r="H26" s="20">
        <f>'KGYCSSZK ktg. mérleg'!C24</f>
        <v>0</v>
      </c>
      <c r="I26" s="20">
        <f>'KESZI ktg. mérleg'!E25+'KGYCSSZK ktg. mérleg'!D24+'társulás ktg. mérleg'!D26</f>
        <v>0</v>
      </c>
      <c r="J26" s="20">
        <f t="shared" si="9"/>
        <v>0</v>
      </c>
      <c r="K26" s="20">
        <v>0</v>
      </c>
      <c r="L26" s="20">
        <v>0</v>
      </c>
      <c r="M26" s="20">
        <v>0</v>
      </c>
      <c r="N26" s="20">
        <f t="shared" si="10"/>
        <v>0</v>
      </c>
      <c r="O26" s="20">
        <f>'KESZI ktg. mérleg'!G24+'KGYCSSZK ktg. mérleg'!F23+'társulás ktg. mérleg'!F26</f>
        <v>0</v>
      </c>
      <c r="P26" s="20"/>
      <c r="Q26" s="20">
        <f t="shared" si="11"/>
        <v>0</v>
      </c>
      <c r="R26" s="22" t="s">
        <v>42</v>
      </c>
    </row>
    <row r="27" spans="1:262" ht="15.75" x14ac:dyDescent="0.25">
      <c r="A27" s="19" t="s">
        <v>43</v>
      </c>
      <c r="B27" s="20">
        <v>0</v>
      </c>
      <c r="C27" s="20">
        <v>0</v>
      </c>
      <c r="D27" s="20">
        <f t="shared" si="7"/>
        <v>0</v>
      </c>
      <c r="E27" s="20">
        <v>0</v>
      </c>
      <c r="F27" s="20">
        <v>0</v>
      </c>
      <c r="G27" s="20">
        <f t="shared" si="8"/>
        <v>0</v>
      </c>
      <c r="H27" s="20">
        <v>0</v>
      </c>
      <c r="I27" s="20">
        <v>0</v>
      </c>
      <c r="J27" s="20">
        <f t="shared" si="9"/>
        <v>0</v>
      </c>
      <c r="K27" s="20">
        <v>0</v>
      </c>
      <c r="L27" s="20">
        <v>0</v>
      </c>
      <c r="M27" s="20">
        <v>0</v>
      </c>
      <c r="N27" s="20">
        <f t="shared" si="10"/>
        <v>0</v>
      </c>
      <c r="O27" s="20"/>
      <c r="P27" s="20"/>
      <c r="Q27" s="20">
        <f t="shared" si="11"/>
        <v>0</v>
      </c>
      <c r="R27" s="21"/>
    </row>
    <row r="28" spans="1:262" ht="30" x14ac:dyDescent="0.25">
      <c r="A28" s="19" t="s">
        <v>44</v>
      </c>
      <c r="B28" s="20">
        <f>'KESZI ktg. mérleg'!B26+'KGYCSSZK ktg. mérleg'!B25+'társulás ktg. mérleg'!B28</f>
        <v>536637.36599999992</v>
      </c>
      <c r="C28" s="20">
        <f>'KESZI ktg. mérleg'!C26+'KGYCSSZK ktg. mérleg'!B25+'társulás ktg. mérleg'!B28</f>
        <v>533182.36599999992</v>
      </c>
      <c r="D28" s="20">
        <f t="shared" si="7"/>
        <v>511675.36599999992</v>
      </c>
      <c r="E28" s="20">
        <f>18407+3100</f>
        <v>21507</v>
      </c>
      <c r="F28" s="20">
        <f>'KESZI ktg. mérleg'!D26+'KGYCSSZK ktg. mérleg'!C25+'társulás ktg. mérleg'!C28</f>
        <v>554994</v>
      </c>
      <c r="G28" s="20">
        <f t="shared" si="8"/>
        <v>536587</v>
      </c>
      <c r="H28" s="20">
        <f>17360+1047</f>
        <v>18407</v>
      </c>
      <c r="I28" s="20">
        <f>'KESZI ktg. mérleg'!E26+'KGYCSSZK ktg. mérleg'!D25+'társulás ktg. mérleg'!D28</f>
        <v>574756</v>
      </c>
      <c r="J28" s="20">
        <f>I28-K28</f>
        <v>540130</v>
      </c>
      <c r="K28" s="20">
        <f>536309-501683</f>
        <v>34626</v>
      </c>
      <c r="L28" s="20">
        <f>'KESZI ktg. mérleg'!F26+'KGYCSSZK ktg. mérleg'!E25+'társulás ktg. mérleg'!E28</f>
        <v>574179</v>
      </c>
      <c r="M28" s="20">
        <f>583648-2784-13769-11953</f>
        <v>555142</v>
      </c>
      <c r="N28" s="20">
        <f t="shared" si="10"/>
        <v>19037</v>
      </c>
      <c r="O28" s="20">
        <f>'KESZI ktg. mérleg'!G26+'KGYCSSZK ktg. mérleg'!F25+'társulás ktg. mérleg'!F28</f>
        <v>566677</v>
      </c>
      <c r="P28" s="20">
        <f>'KESZI ktg. mérleg'!G26+'KGYCSSZK ktg. mérleg'!F25</f>
        <v>30045</v>
      </c>
      <c r="Q28" s="20">
        <f t="shared" si="11"/>
        <v>536632</v>
      </c>
      <c r="R28" s="22" t="s">
        <v>220</v>
      </c>
    </row>
    <row r="29" spans="1:262" ht="15.75" x14ac:dyDescent="0.25">
      <c r="A29" s="19" t="s">
        <v>46</v>
      </c>
      <c r="B29" s="20">
        <f>'társulás ktg. mérleg'!B29</f>
        <v>321246.49599999998</v>
      </c>
      <c r="C29" s="20">
        <f>'KESZI ktg. mérleg'!C27+'KGYCSSZK ktg. mérleg'!B26+'társulás ktg. mérleg'!B29</f>
        <v>331337.49599999998</v>
      </c>
      <c r="D29" s="20">
        <f t="shared" si="7"/>
        <v>331337.49599999998</v>
      </c>
      <c r="E29" s="20">
        <v>0</v>
      </c>
      <c r="F29" s="20">
        <f>'KESZI ktg. mérleg'!D27+'KGYCSSZK ktg. mérleg'!C26+'társulás ktg. mérleg'!C29</f>
        <v>350673</v>
      </c>
      <c r="G29" s="20">
        <f t="shared" si="8"/>
        <v>350673</v>
      </c>
      <c r="H29" s="20">
        <v>0</v>
      </c>
      <c r="I29" s="111">
        <v>359220</v>
      </c>
      <c r="J29" s="20">
        <v>359220</v>
      </c>
      <c r="K29" s="111">
        <v>0</v>
      </c>
      <c r="L29" s="111">
        <f>'társulás ktg. mérleg'!E29</f>
        <v>371122</v>
      </c>
      <c r="M29" s="111">
        <v>371122</v>
      </c>
      <c r="N29" s="20">
        <f t="shared" si="10"/>
        <v>0</v>
      </c>
      <c r="O29" s="20">
        <f>'társulás ktg. mérleg'!F29</f>
        <v>531648</v>
      </c>
      <c r="P29" s="20"/>
      <c r="Q29" s="20">
        <f t="shared" si="11"/>
        <v>531648</v>
      </c>
      <c r="R29" s="21"/>
    </row>
    <row r="30" spans="1:262" ht="15.75" x14ac:dyDescent="0.25">
      <c r="A30" s="19" t="s">
        <v>47</v>
      </c>
      <c r="B30" s="23">
        <v>0</v>
      </c>
      <c r="C30" s="20">
        <f>'KESZI ktg. mérleg'!C29+'KGYCSSZK ktg. mérleg'!B28+'társulás ktg. mérleg'!B30</f>
        <v>0</v>
      </c>
      <c r="D30" s="20">
        <f t="shared" si="7"/>
        <v>0</v>
      </c>
      <c r="E30" s="23">
        <v>0</v>
      </c>
      <c r="F30" s="23">
        <v>0</v>
      </c>
      <c r="G30" s="20">
        <f t="shared" si="8"/>
        <v>0</v>
      </c>
      <c r="H30" s="20">
        <f>'KGYCSSZK ktg. mérleg'!C28</f>
        <v>0</v>
      </c>
      <c r="I30" s="20">
        <f>'KESZI ktg. mérleg'!E29+'KGYCSSZK ktg. mérleg'!D28+'társulás ktg. mérleg'!D30</f>
        <v>0</v>
      </c>
      <c r="J30" s="20">
        <f t="shared" si="9"/>
        <v>0</v>
      </c>
      <c r="K30" s="20">
        <v>0</v>
      </c>
      <c r="L30" s="20">
        <v>0</v>
      </c>
      <c r="M30" s="20">
        <v>0</v>
      </c>
      <c r="N30" s="20">
        <f t="shared" si="10"/>
        <v>0</v>
      </c>
      <c r="O30" s="20">
        <f>'KESZI ktg. mérleg'!G29+'KGYCSSZK ktg. mérleg'!F28+'társulás ktg. mérleg'!F31</f>
        <v>0</v>
      </c>
      <c r="P30" s="20"/>
      <c r="Q30" s="20">
        <f t="shared" si="11"/>
        <v>0</v>
      </c>
      <c r="R30" s="21" t="s">
        <v>48</v>
      </c>
    </row>
    <row r="31" spans="1:262" ht="15.75" x14ac:dyDescent="0.25">
      <c r="A31" s="24" t="s">
        <v>49</v>
      </c>
      <c r="B31" s="26">
        <f>B28+B24</f>
        <v>739978.36599999992</v>
      </c>
      <c r="C31" s="99">
        <f>C28+C24</f>
        <v>733352.36599999992</v>
      </c>
      <c r="D31" s="32">
        <f t="shared" si="7"/>
        <v>711845.36599999992</v>
      </c>
      <c r="E31" s="99">
        <f>E28+E24</f>
        <v>21507</v>
      </c>
      <c r="F31" s="92">
        <f>SUM(F30+F28+F27+F26+F25+F24)</f>
        <v>765329</v>
      </c>
      <c r="G31" s="108">
        <f t="shared" si="8"/>
        <v>736342</v>
      </c>
      <c r="H31" s="92">
        <f>SUM(H24+H25+H26+H28)</f>
        <v>28987</v>
      </c>
      <c r="I31" s="108">
        <f>I24+I25+I26+I28</f>
        <v>785091</v>
      </c>
      <c r="J31" s="108">
        <f t="shared" si="9"/>
        <v>739885</v>
      </c>
      <c r="K31" s="108">
        <f>K24+K25+K26+K28</f>
        <v>45206</v>
      </c>
      <c r="L31" s="108">
        <f>L24+L25+L26+L28+1</f>
        <v>795081</v>
      </c>
      <c r="M31" s="108">
        <f>M24+M25+M26+M28</f>
        <v>766851</v>
      </c>
      <c r="N31" s="108">
        <f>N24+N25+N26+N28+1</f>
        <v>28230</v>
      </c>
      <c r="O31" s="108">
        <f t="shared" ref="O31:Q31" si="12">O24+O25+O26+O28</f>
        <v>785214</v>
      </c>
      <c r="P31" s="108">
        <f t="shared" si="12"/>
        <v>241754</v>
      </c>
      <c r="Q31" s="108">
        <f t="shared" si="12"/>
        <v>543460</v>
      </c>
      <c r="R31" s="21"/>
    </row>
    <row r="32" spans="1:262" ht="15.75" x14ac:dyDescent="0.25">
      <c r="A32" s="19" t="s">
        <v>169</v>
      </c>
      <c r="B32" s="23">
        <v>0</v>
      </c>
      <c r="C32" s="94">
        <f>'KESZI ktg. mérleg'!C31+'KGYCSSZK ktg. mérleg'!B30+'társulás ktg. mérleg'!B33</f>
        <v>2435</v>
      </c>
      <c r="D32" s="94"/>
      <c r="E32" s="94"/>
      <c r="F32" s="94">
        <f>'KESZI ktg. mérleg'!D31+'KGYCSSZK ktg. mérleg'!C30+'társulás ktg. mérleg'!C33</f>
        <v>4510</v>
      </c>
      <c r="G32" s="20">
        <f t="shared" si="8"/>
        <v>4510</v>
      </c>
      <c r="H32" s="94">
        <v>0</v>
      </c>
      <c r="I32" s="20">
        <f>'KESZI ktg. mérleg'!E31+'KGYCSSZK ktg. mérleg'!D30+'társulás ktg. mérleg'!D33</f>
        <v>4510</v>
      </c>
      <c r="J32" s="20">
        <f>I32-K32</f>
        <v>1252</v>
      </c>
      <c r="K32" s="20">
        <v>3258</v>
      </c>
      <c r="L32" s="20">
        <f>'KESZI ktg. mérleg'!F31+'KGYCSSZK ktg. mérleg'!E30+'társulás ktg. mérleg'!E33</f>
        <v>4510</v>
      </c>
      <c r="M32" s="20">
        <v>0</v>
      </c>
      <c r="N32" s="20">
        <f>L32-M32</f>
        <v>4510</v>
      </c>
      <c r="O32" s="20">
        <f>'KESZI ktg. mérleg'!G31+'KGYCSSZK ktg. mérleg'!F30+'társulás ktg. mérleg'!F33</f>
        <v>4510</v>
      </c>
      <c r="P32" s="20">
        <f>'KESZI ktg. mérleg'!G31+'KGYCSSZK ktg. mérleg'!F30</f>
        <v>1252</v>
      </c>
      <c r="Q32" s="20">
        <f>O32-P32</f>
        <v>3258</v>
      </c>
      <c r="R32" s="21" t="s">
        <v>193</v>
      </c>
    </row>
    <row r="33" spans="1:18" ht="15.75" x14ac:dyDescent="0.25">
      <c r="A33" s="33" t="s">
        <v>51</v>
      </c>
      <c r="B33" s="28">
        <f>B31+B32</f>
        <v>739978.36599999992</v>
      </c>
      <c r="C33" s="98">
        <f>C31+C32</f>
        <v>735787.36599999992</v>
      </c>
      <c r="D33" s="98">
        <f>C33-E33</f>
        <v>714280.36599999992</v>
      </c>
      <c r="E33" s="98">
        <f>E31+E32</f>
        <v>21507</v>
      </c>
      <c r="F33" s="98">
        <f>SUM(F31:F32)</f>
        <v>769839</v>
      </c>
      <c r="G33" s="27">
        <f t="shared" si="8"/>
        <v>740852</v>
      </c>
      <c r="H33" s="98">
        <f>SUM(H31:H32)</f>
        <v>28987</v>
      </c>
      <c r="I33" s="27">
        <f>SUM(I31:I32)</f>
        <v>789601</v>
      </c>
      <c r="J33" s="27">
        <f t="shared" si="9"/>
        <v>741137</v>
      </c>
      <c r="K33" s="27">
        <f>SUM(K31:K32)</f>
        <v>48464</v>
      </c>
      <c r="L33" s="27">
        <f>SUM(L31:L32)</f>
        <v>799591</v>
      </c>
      <c r="M33" s="27">
        <f>M31+M32</f>
        <v>766851</v>
      </c>
      <c r="N33" s="27">
        <f>N31+N32</f>
        <v>32740</v>
      </c>
      <c r="O33" s="27">
        <f t="shared" ref="O33:Q33" si="13">O31+O32</f>
        <v>789724</v>
      </c>
      <c r="P33" s="27">
        <f t="shared" si="13"/>
        <v>243006</v>
      </c>
      <c r="Q33" s="27">
        <f t="shared" si="13"/>
        <v>546718</v>
      </c>
      <c r="R33" s="21"/>
    </row>
    <row r="34" spans="1:18" ht="15.75" x14ac:dyDescent="0.25">
      <c r="A34" s="34"/>
      <c r="B34" s="35"/>
      <c r="C34" s="35"/>
      <c r="D34" s="35"/>
      <c r="E34" s="35"/>
      <c r="F34" s="35"/>
      <c r="G34" s="35"/>
      <c r="H34" s="35"/>
    </row>
    <row r="36" spans="1:18" x14ac:dyDescent="0.25">
      <c r="A36" s="165" t="s">
        <v>226</v>
      </c>
    </row>
    <row r="37" spans="1:18" x14ac:dyDescent="0.25">
      <c r="B37" s="1" t="s">
        <v>122</v>
      </c>
    </row>
    <row r="38" spans="1:18" x14ac:dyDescent="0.25">
      <c r="A38" s="205"/>
      <c r="B38" s="205"/>
      <c r="C38" s="205"/>
      <c r="D38"/>
      <c r="E38"/>
      <c r="F38"/>
      <c r="G38"/>
      <c r="H38"/>
    </row>
    <row r="39" spans="1:18" x14ac:dyDescent="0.25">
      <c r="B39" s="1" t="s">
        <v>121</v>
      </c>
    </row>
    <row r="40" spans="1:18" x14ac:dyDescent="0.25">
      <c r="B40" s="1" t="s">
        <v>117</v>
      </c>
    </row>
    <row r="41" spans="1:18" x14ac:dyDescent="0.25">
      <c r="B41" s="1" t="s">
        <v>118</v>
      </c>
    </row>
    <row r="42" spans="1:18" x14ac:dyDescent="0.25">
      <c r="B42" s="1" t="s">
        <v>123</v>
      </c>
    </row>
    <row r="43" spans="1:18" x14ac:dyDescent="0.25">
      <c r="B43" s="1" t="s">
        <v>117</v>
      </c>
    </row>
  </sheetData>
  <mergeCells count="7">
    <mergeCell ref="A38:C38"/>
    <mergeCell ref="B1:C1"/>
    <mergeCell ref="A3:C3"/>
    <mergeCell ref="A4:C4"/>
    <mergeCell ref="A5:C5"/>
    <mergeCell ref="A6:C6"/>
    <mergeCell ref="A8:C8"/>
  </mergeCells>
  <phoneticPr fontId="23" type="noConversion"/>
  <pageMargins left="0.70826771653543308" right="0.70826771653543308" top="1.1417322834645671" bottom="1.1417322834645671" header="0.74803149606299213" footer="0.74803149606299213"/>
  <pageSetup paperSize="9" scale="6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X56"/>
  <sheetViews>
    <sheetView topLeftCell="A7" workbookViewId="0">
      <selection activeCell="G16" sqref="G16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5" width="14.75" style="1" bestFit="1" customWidth="1"/>
    <col min="6" max="7" width="14.75" style="1" customWidth="1"/>
    <col min="8" max="8" width="15.125" style="1" customWidth="1"/>
    <col min="9" max="9" width="11.625" style="1" customWidth="1"/>
    <col min="10" max="16384" width="8.75" style="1"/>
  </cols>
  <sheetData>
    <row r="1" spans="1:258" x14ac:dyDescent="0.25">
      <c r="B1" s="206" t="s">
        <v>52</v>
      </c>
      <c r="C1" s="206"/>
      <c r="D1" s="3"/>
    </row>
    <row r="2" spans="1:258" x14ac:dyDescent="0.25">
      <c r="B2" s="2"/>
    </row>
    <row r="3" spans="1:258" x14ac:dyDescent="0.25">
      <c r="A3" s="203" t="s">
        <v>1</v>
      </c>
      <c r="B3" s="203"/>
      <c r="C3" s="203"/>
      <c r="D3" s="3"/>
    </row>
    <row r="4" spans="1:258" x14ac:dyDescent="0.25">
      <c r="A4" s="203" t="s">
        <v>190</v>
      </c>
      <c r="B4" s="203"/>
      <c r="C4" s="203"/>
      <c r="D4" s="3"/>
    </row>
    <row r="5" spans="1:258" ht="15.75" x14ac:dyDescent="0.25">
      <c r="A5" s="207" t="s">
        <v>13</v>
      </c>
      <c r="B5" s="207"/>
      <c r="C5" s="207"/>
      <c r="D5" s="12"/>
    </row>
    <row r="6" spans="1:258" ht="15.75" x14ac:dyDescent="0.25">
      <c r="A6" s="207" t="s">
        <v>14</v>
      </c>
      <c r="B6" s="207"/>
      <c r="C6" s="207"/>
      <c r="D6" s="12"/>
    </row>
    <row r="8" spans="1:258" ht="15.75" x14ac:dyDescent="0.25">
      <c r="B8" s="12"/>
      <c r="C8" s="12" t="s">
        <v>53</v>
      </c>
      <c r="D8" s="12" t="s">
        <v>53</v>
      </c>
      <c r="E8" s="12" t="s">
        <v>53</v>
      </c>
      <c r="F8" s="115" t="s">
        <v>53</v>
      </c>
      <c r="G8" s="122"/>
    </row>
    <row r="9" spans="1:258" x14ac:dyDescent="0.25">
      <c r="A9" s="36" t="s">
        <v>54</v>
      </c>
      <c r="B9" s="36"/>
      <c r="C9" s="37"/>
      <c r="D9" s="37"/>
      <c r="E9" s="106"/>
      <c r="F9" s="106"/>
      <c r="G9" s="106"/>
    </row>
    <row r="10" spans="1:258" ht="15.75" x14ac:dyDescent="0.25">
      <c r="A10" s="14" t="s">
        <v>6</v>
      </c>
      <c r="B10" s="38" t="s">
        <v>18</v>
      </c>
      <c r="C10" s="38" t="s">
        <v>18</v>
      </c>
      <c r="D10" s="38" t="s">
        <v>167</v>
      </c>
      <c r="E10" s="38" t="s">
        <v>167</v>
      </c>
      <c r="F10" s="38" t="s">
        <v>167</v>
      </c>
      <c r="G10" s="38" t="s">
        <v>216</v>
      </c>
      <c r="H10" s="15" t="s">
        <v>19</v>
      </c>
    </row>
    <row r="11" spans="1:258" ht="31.5" customHeight="1" x14ac:dyDescent="0.25">
      <c r="A11" s="16"/>
      <c r="B11" s="39" t="s">
        <v>20</v>
      </c>
      <c r="C11" s="39" t="s">
        <v>119</v>
      </c>
      <c r="D11" s="39" t="s">
        <v>191</v>
      </c>
      <c r="E11" s="39" t="s">
        <v>192</v>
      </c>
      <c r="F11" s="39" t="s">
        <v>205</v>
      </c>
      <c r="G11" s="39"/>
      <c r="H11" s="18" t="s">
        <v>120</v>
      </c>
    </row>
    <row r="12" spans="1:258" ht="15.75" x14ac:dyDescent="0.25">
      <c r="A12" s="19" t="s">
        <v>21</v>
      </c>
      <c r="B12" s="23">
        <v>264817</v>
      </c>
      <c r="C12" s="23">
        <f>'[1]KESZI költségvetés'!$D$9</f>
        <v>286274</v>
      </c>
      <c r="D12" s="23">
        <v>293850</v>
      </c>
      <c r="E12" s="112">
        <v>304650</v>
      </c>
      <c r="F12" s="112">
        <v>310168</v>
      </c>
      <c r="G12" s="112">
        <v>292684</v>
      </c>
      <c r="H12" s="21" t="s">
        <v>22</v>
      </c>
    </row>
    <row r="13" spans="1:258" ht="15.75" x14ac:dyDescent="0.25">
      <c r="A13" s="19" t="s">
        <v>23</v>
      </c>
      <c r="B13" s="23">
        <v>69967</v>
      </c>
      <c r="C13" s="23">
        <f>'[1]KESZI költségvetés'!$D$10</f>
        <v>77778</v>
      </c>
      <c r="D13" s="23">
        <v>79250</v>
      </c>
      <c r="E13" s="112">
        <v>82139</v>
      </c>
      <c r="F13" s="112">
        <v>78396</v>
      </c>
      <c r="G13" s="112">
        <v>77343</v>
      </c>
      <c r="H13" s="21" t="s">
        <v>24</v>
      </c>
    </row>
    <row r="14" spans="1:258" ht="15.75" x14ac:dyDescent="0.25">
      <c r="A14" s="19" t="s">
        <v>25</v>
      </c>
      <c r="B14" s="23">
        <f>SUM(200046)</f>
        <v>200046</v>
      </c>
      <c r="C14" s="23">
        <f>'[1]KESZI költségvetés'!$D$16</f>
        <v>188626</v>
      </c>
      <c r="D14" s="23">
        <v>187866</v>
      </c>
      <c r="E14" s="112">
        <v>188204</v>
      </c>
      <c r="F14" s="112">
        <v>187802</v>
      </c>
      <c r="G14" s="112">
        <v>183031</v>
      </c>
      <c r="H14" s="21" t="s">
        <v>26</v>
      </c>
    </row>
    <row r="15" spans="1:258" ht="15.75" x14ac:dyDescent="0.25">
      <c r="A15" s="19" t="s">
        <v>187</v>
      </c>
      <c r="B15" s="23">
        <v>570</v>
      </c>
      <c r="C15" s="23">
        <f>'[1]KESZI költségvetés'!$D$17</f>
        <v>700</v>
      </c>
      <c r="D15" s="23">
        <v>700</v>
      </c>
      <c r="E15" s="23">
        <v>700</v>
      </c>
      <c r="F15" s="23">
        <v>850</v>
      </c>
      <c r="G15" s="23">
        <v>816</v>
      </c>
      <c r="H15" s="21" t="s">
        <v>28</v>
      </c>
    </row>
    <row r="16" spans="1:258" customFormat="1" ht="15.75" x14ac:dyDescent="0.25">
      <c r="A16" s="19" t="s">
        <v>189</v>
      </c>
      <c r="B16" s="23"/>
      <c r="C16" s="23">
        <v>0</v>
      </c>
      <c r="D16" s="23">
        <v>344</v>
      </c>
      <c r="E16" s="23">
        <v>344</v>
      </c>
      <c r="F16" s="23">
        <v>344</v>
      </c>
      <c r="G16" s="23">
        <v>344</v>
      </c>
      <c r="H16" s="21" t="s">
        <v>168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</row>
    <row r="17" spans="1:9" ht="15.75" x14ac:dyDescent="0.25">
      <c r="A17" s="19" t="s">
        <v>29</v>
      </c>
      <c r="B17" s="23">
        <v>0</v>
      </c>
      <c r="C17" s="23">
        <f>'[1]KESZI költségvetés'!$D$18</f>
        <v>2435</v>
      </c>
      <c r="D17" s="23">
        <f>1350+2187</f>
        <v>3537</v>
      </c>
      <c r="E17" s="23">
        <v>4193</v>
      </c>
      <c r="F17" s="23">
        <f>3225+2944</f>
        <v>6169</v>
      </c>
      <c r="G17" s="23">
        <v>6164</v>
      </c>
      <c r="H17" s="22" t="s">
        <v>30</v>
      </c>
    </row>
    <row r="18" spans="1:9" ht="15.75" x14ac:dyDescent="0.25">
      <c r="A18" s="19" t="s">
        <v>31</v>
      </c>
      <c r="B18" s="23">
        <v>0</v>
      </c>
      <c r="C18" s="23">
        <v>0</v>
      </c>
      <c r="D18" s="23">
        <v>0</v>
      </c>
      <c r="E18" s="23">
        <v>0</v>
      </c>
      <c r="F18" s="23"/>
      <c r="G18" s="23"/>
      <c r="H18" s="21" t="s">
        <v>32</v>
      </c>
    </row>
    <row r="19" spans="1:9" ht="15.75" x14ac:dyDescent="0.25">
      <c r="A19" s="24" t="s">
        <v>33</v>
      </c>
      <c r="B19" s="25">
        <f t="shared" ref="B19:G19" si="0">SUM(B12:B18)</f>
        <v>535400</v>
      </c>
      <c r="C19" s="25">
        <f t="shared" si="0"/>
        <v>555813</v>
      </c>
      <c r="D19" s="26">
        <f t="shared" si="0"/>
        <v>565547</v>
      </c>
      <c r="E19" s="26">
        <f t="shared" si="0"/>
        <v>580230</v>
      </c>
      <c r="F19" s="26">
        <f t="shared" si="0"/>
        <v>583729</v>
      </c>
      <c r="G19" s="26">
        <f t="shared" si="0"/>
        <v>560382</v>
      </c>
      <c r="H19" s="21"/>
    </row>
    <row r="20" spans="1:9" ht="15.75" hidden="1" x14ac:dyDescent="0.25">
      <c r="A20" s="19" t="s">
        <v>35</v>
      </c>
      <c r="B20" s="20" t="s">
        <v>36</v>
      </c>
      <c r="C20" s="20" t="s">
        <v>36</v>
      </c>
      <c r="D20" s="93"/>
      <c r="E20" s="20"/>
      <c r="F20" s="20"/>
      <c r="G20" s="20"/>
      <c r="H20" s="21"/>
    </row>
    <row r="21" spans="1:9" ht="15.75" x14ac:dyDescent="0.25">
      <c r="A21" s="30" t="s">
        <v>37</v>
      </c>
      <c r="B21" s="27">
        <f t="shared" ref="B21:G21" si="1">SUM(B19)</f>
        <v>535400</v>
      </c>
      <c r="C21" s="27">
        <f t="shared" si="1"/>
        <v>555813</v>
      </c>
      <c r="D21" s="28">
        <f t="shared" si="1"/>
        <v>565547</v>
      </c>
      <c r="E21" s="28">
        <f t="shared" si="1"/>
        <v>580230</v>
      </c>
      <c r="F21" s="28">
        <f t="shared" si="1"/>
        <v>583729</v>
      </c>
      <c r="G21" s="28">
        <f t="shared" si="1"/>
        <v>560382</v>
      </c>
      <c r="H21" s="21"/>
    </row>
    <row r="22" spans="1:9" ht="15.75" x14ac:dyDescent="0.25">
      <c r="A22" s="31"/>
      <c r="B22" s="29"/>
      <c r="C22" s="29"/>
      <c r="D22" s="29"/>
      <c r="E22" s="29"/>
      <c r="F22" s="29"/>
      <c r="G22" s="29"/>
    </row>
    <row r="23" spans="1:9" ht="15.75" x14ac:dyDescent="0.25">
      <c r="A23" s="19" t="s">
        <v>38</v>
      </c>
      <c r="B23" s="23">
        <v>201101</v>
      </c>
      <c r="C23" s="23">
        <f>'[1]KESZI költségvetés'!$D$22</f>
        <v>197930</v>
      </c>
      <c r="D23" s="23">
        <v>197930</v>
      </c>
      <c r="E23" s="23">
        <v>197930</v>
      </c>
      <c r="F23" s="200">
        <f>197930+10473</f>
        <v>208403</v>
      </c>
      <c r="G23" s="23">
        <v>208403</v>
      </c>
      <c r="H23" s="21" t="s">
        <v>39</v>
      </c>
      <c r="I23" s="1">
        <f>F23-G23</f>
        <v>0</v>
      </c>
    </row>
    <row r="24" spans="1:9" ht="30" x14ac:dyDescent="0.25">
      <c r="A24" s="19" t="s">
        <v>41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/>
      <c r="H24" s="22" t="s">
        <v>42</v>
      </c>
    </row>
    <row r="25" spans="1:9" ht="15.75" x14ac:dyDescent="0.25">
      <c r="A25" s="19" t="s">
        <v>43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/>
      <c r="H25" s="21"/>
    </row>
    <row r="26" spans="1:9" ht="15.75" x14ac:dyDescent="0.25">
      <c r="A26" s="19" t="s">
        <v>44</v>
      </c>
      <c r="B26" s="23">
        <f>SUM(50763-12615)</f>
        <v>38148</v>
      </c>
      <c r="C26" s="23">
        <f>'[1]KESZI költségvetés'!$D$21+'[1]KESZI költségvetés'!$D$23</f>
        <v>34693</v>
      </c>
      <c r="D26" s="23">
        <v>35243</v>
      </c>
      <c r="E26" s="23">
        <v>35783</v>
      </c>
      <c r="F26" s="200">
        <f>36904+400-10473</f>
        <v>26831</v>
      </c>
      <c r="G26" s="23">
        <v>24777</v>
      </c>
      <c r="H26" s="21" t="s">
        <v>218</v>
      </c>
    </row>
    <row r="27" spans="1:9" ht="15.75" x14ac:dyDescent="0.25">
      <c r="A27" s="19" t="s">
        <v>46</v>
      </c>
      <c r="B27" s="23">
        <v>0</v>
      </c>
      <c r="C27" s="23">
        <v>10091</v>
      </c>
      <c r="D27" s="23">
        <v>10091</v>
      </c>
      <c r="E27" s="23">
        <v>10091</v>
      </c>
      <c r="F27" s="23">
        <v>10091</v>
      </c>
      <c r="G27" s="23">
        <v>16479</v>
      </c>
      <c r="H27" s="21"/>
    </row>
    <row r="28" spans="1:9" ht="15.75" x14ac:dyDescent="0.25">
      <c r="A28" s="19" t="s">
        <v>55</v>
      </c>
      <c r="B28" s="23">
        <f>SUM(283536+12615)</f>
        <v>296151</v>
      </c>
      <c r="C28" s="23">
        <f>'[1]KESZI költségvetés'!$D$25+'[1]KESZI költségvetés'!$D$26+'[1]KESZI költségvetés'!$D$27+'[1]KESZI költségvetés'!$D$28</f>
        <v>320755</v>
      </c>
      <c r="D28" s="23">
        <v>331537</v>
      </c>
      <c r="E28" s="23">
        <v>345680</v>
      </c>
      <c r="F28" s="23">
        <v>347658</v>
      </c>
      <c r="G28" s="23">
        <v>345386</v>
      </c>
      <c r="H28" s="21" t="s">
        <v>45</v>
      </c>
    </row>
    <row r="29" spans="1:9" ht="15.75" x14ac:dyDescent="0.25">
      <c r="A29" s="19" t="s">
        <v>47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/>
      <c r="H29" s="21" t="s">
        <v>48</v>
      </c>
    </row>
    <row r="30" spans="1:9" ht="15.75" x14ac:dyDescent="0.25">
      <c r="A30" s="24" t="s">
        <v>49</v>
      </c>
      <c r="B30" s="25">
        <f t="shared" ref="B30:G30" si="2">SUM(B29+B28+B26+B24+B23)</f>
        <v>535400</v>
      </c>
      <c r="C30" s="25">
        <f t="shared" si="2"/>
        <v>553378</v>
      </c>
      <c r="D30" s="99">
        <f t="shared" si="2"/>
        <v>564710</v>
      </c>
      <c r="E30" s="99">
        <f t="shared" si="2"/>
        <v>579393</v>
      </c>
      <c r="F30" s="99">
        <f t="shared" si="2"/>
        <v>582892</v>
      </c>
      <c r="G30" s="99">
        <f t="shared" si="2"/>
        <v>578566</v>
      </c>
      <c r="H30" s="21"/>
    </row>
    <row r="31" spans="1:9" ht="15.75" x14ac:dyDescent="0.25">
      <c r="A31" s="19" t="s">
        <v>169</v>
      </c>
      <c r="B31" s="20">
        <v>0</v>
      </c>
      <c r="C31" s="23">
        <f>'[1]KESZI költségvetés'!$D$24</f>
        <v>2435</v>
      </c>
      <c r="D31" s="103">
        <v>837</v>
      </c>
      <c r="E31" s="20">
        <v>837</v>
      </c>
      <c r="F31" s="20">
        <v>837</v>
      </c>
      <c r="G31" s="20">
        <v>837</v>
      </c>
      <c r="H31" s="21" t="s">
        <v>170</v>
      </c>
    </row>
    <row r="32" spans="1:9" ht="15.75" hidden="1" x14ac:dyDescent="0.25">
      <c r="A32" s="19" t="s">
        <v>50</v>
      </c>
      <c r="B32" s="20" t="s">
        <v>36</v>
      </c>
      <c r="C32" s="20" t="s">
        <v>36</v>
      </c>
      <c r="D32" s="93"/>
      <c r="E32" s="20"/>
      <c r="F32" s="20"/>
      <c r="G32" s="20"/>
      <c r="H32" s="21"/>
    </row>
    <row r="33" spans="1:258" ht="15.75" x14ac:dyDescent="0.25">
      <c r="A33" s="33" t="s">
        <v>51</v>
      </c>
      <c r="B33" s="27">
        <f t="shared" ref="B33:G33" si="3">B30+B31</f>
        <v>535400</v>
      </c>
      <c r="C33" s="27">
        <f t="shared" si="3"/>
        <v>555813</v>
      </c>
      <c r="D33" s="28">
        <f t="shared" si="3"/>
        <v>565547</v>
      </c>
      <c r="E33" s="28">
        <f t="shared" si="3"/>
        <v>580230</v>
      </c>
      <c r="F33" s="28">
        <f t="shared" si="3"/>
        <v>583729</v>
      </c>
      <c r="G33" s="28">
        <f t="shared" si="3"/>
        <v>579403</v>
      </c>
      <c r="H33" s="21"/>
    </row>
    <row r="36" spans="1:258" ht="30" x14ac:dyDescent="0.25">
      <c r="A36" s="70" t="s">
        <v>172</v>
      </c>
      <c r="B36" s="2" t="s">
        <v>56</v>
      </c>
    </row>
    <row r="37" spans="1:258" ht="30" x14ac:dyDescent="0.25">
      <c r="B37" s="2" t="s">
        <v>124</v>
      </c>
      <c r="C37" s="2" t="s">
        <v>179</v>
      </c>
      <c r="D37" s="2" t="s">
        <v>197</v>
      </c>
      <c r="E37" s="2" t="s">
        <v>198</v>
      </c>
      <c r="F37" s="2" t="s">
        <v>206</v>
      </c>
      <c r="G37" s="47" t="s">
        <v>227</v>
      </c>
    </row>
    <row r="38" spans="1:258" x14ac:dyDescent="0.25">
      <c r="A38" s="41" t="s">
        <v>57</v>
      </c>
      <c r="B38" s="62">
        <v>27403200</v>
      </c>
      <c r="C38" s="65">
        <f>[2]Munka1!$E$18</f>
        <v>25941696</v>
      </c>
      <c r="D38" s="65">
        <f>[2]Munka1!$E$18</f>
        <v>25941696</v>
      </c>
      <c r="E38" s="64">
        <v>25698112</v>
      </c>
      <c r="F38" s="64">
        <v>25515424</v>
      </c>
      <c r="G38" s="167">
        <v>25515424</v>
      </c>
      <c r="H38" s="96"/>
    </row>
    <row r="39" spans="1:258" x14ac:dyDescent="0.25">
      <c r="A39" s="41" t="s">
        <v>58</v>
      </c>
      <c r="B39" s="62">
        <v>34872500</v>
      </c>
      <c r="C39" s="65">
        <f>[2]Munka1!$E$19</f>
        <v>36192000</v>
      </c>
      <c r="D39" s="65">
        <f>[2]Munka1!$E$19</f>
        <v>36192000</v>
      </c>
      <c r="E39" s="64">
        <v>35815000</v>
      </c>
      <c r="F39" s="64">
        <v>35626500</v>
      </c>
      <c r="G39" s="167">
        <v>35626500</v>
      </c>
    </row>
    <row r="40" spans="1:258" x14ac:dyDescent="0.25">
      <c r="A40" s="41" t="s">
        <v>59</v>
      </c>
      <c r="B40" s="62">
        <v>7357500</v>
      </c>
      <c r="C40" s="65">
        <f>[2]Munka1!$E$20</f>
        <v>6213000</v>
      </c>
      <c r="D40" s="65">
        <f>[2]Munka1!$E$20</f>
        <v>6213000</v>
      </c>
      <c r="E40" s="64">
        <f t="shared" ref="E40:E48" si="4">D40</f>
        <v>6213000</v>
      </c>
      <c r="F40" s="64">
        <v>6540000</v>
      </c>
      <c r="G40" s="167">
        <v>6540000</v>
      </c>
      <c r="H40" s="117"/>
    </row>
    <row r="41" spans="1:258" x14ac:dyDescent="0.25">
      <c r="A41" s="42" t="s">
        <v>61</v>
      </c>
      <c r="B41" s="62">
        <f>SUM(6050000+4180000+12100000)</f>
        <v>22330000</v>
      </c>
      <c r="C41" s="65">
        <f>[2]Munka1!$E$21+[2]Munka1!$E$22+[2]Munka1!$E$23</f>
        <v>24970000</v>
      </c>
      <c r="D41" s="65">
        <f>[2]Munka1!$E$21+[2]Munka1!$E$22+[2]Munka1!$E$23</f>
        <v>24970000</v>
      </c>
      <c r="E41" s="64">
        <v>22880000</v>
      </c>
      <c r="F41" s="64">
        <v>23870000</v>
      </c>
      <c r="G41" s="167">
        <v>23870000</v>
      </c>
    </row>
    <row r="42" spans="1:258" x14ac:dyDescent="0.25">
      <c r="A42" s="41" t="s">
        <v>62</v>
      </c>
      <c r="B42" s="62">
        <v>11129400</v>
      </c>
      <c r="C42" s="65">
        <f>[2]Munka1!$E$24</f>
        <v>8903520</v>
      </c>
      <c r="D42" s="65">
        <f>[2]Munka1!$E$24</f>
        <v>8903520</v>
      </c>
      <c r="E42" s="64">
        <f t="shared" si="4"/>
        <v>8903520</v>
      </c>
      <c r="F42" s="64">
        <v>8903520</v>
      </c>
      <c r="G42" s="167">
        <v>8903520</v>
      </c>
    </row>
    <row r="43" spans="1:258" x14ac:dyDescent="0.25">
      <c r="A43" s="41" t="s">
        <v>63</v>
      </c>
      <c r="B43" s="62">
        <v>20607400</v>
      </c>
      <c r="C43" s="65">
        <f>[2]Munka1!$E$25</f>
        <v>20607400</v>
      </c>
      <c r="D43" s="65">
        <f>[2]Munka1!$E$25</f>
        <v>20607400</v>
      </c>
      <c r="E43" s="64">
        <v>21122585</v>
      </c>
      <c r="F43" s="64">
        <v>21122585</v>
      </c>
      <c r="G43" s="167">
        <f>19164881+1957704</f>
        <v>21122585</v>
      </c>
      <c r="H43" s="96"/>
      <c r="I43" s="96"/>
    </row>
    <row r="44" spans="1:258" x14ac:dyDescent="0.25">
      <c r="A44" s="41" t="s">
        <v>64</v>
      </c>
      <c r="B44" s="62">
        <v>83393280</v>
      </c>
      <c r="C44" s="65">
        <f>[2]Munka1!$E$26</f>
        <v>83393280</v>
      </c>
      <c r="D44" s="65">
        <f>[2]Munka1!$E$26</f>
        <v>83393280</v>
      </c>
      <c r="E44" s="64">
        <f t="shared" si="4"/>
        <v>83393280</v>
      </c>
      <c r="F44" s="167">
        <f>83393280-7178365</f>
        <v>76214915</v>
      </c>
      <c r="G44" s="167">
        <f>83393280-7168365</f>
        <v>76224915</v>
      </c>
    </row>
    <row r="45" spans="1:258" x14ac:dyDescent="0.25">
      <c r="A45" s="42" t="s">
        <v>65</v>
      </c>
      <c r="B45" s="62">
        <v>19973000</v>
      </c>
      <c r="C45" s="65">
        <v>25725104</v>
      </c>
      <c r="D45" s="65">
        <v>25725104</v>
      </c>
      <c r="E45" s="64">
        <f>D45+8700896</f>
        <v>34426000</v>
      </c>
      <c r="F45" s="167">
        <f>42396429-492064</f>
        <v>41904365</v>
      </c>
      <c r="G45" s="167">
        <f>42396429-492064</f>
        <v>41904365</v>
      </c>
      <c r="H45" s="117"/>
    </row>
    <row r="46" spans="1:258" x14ac:dyDescent="0.25">
      <c r="A46" s="21" t="s">
        <v>66</v>
      </c>
      <c r="B46" s="62">
        <v>56470000</v>
      </c>
      <c r="C46" s="64">
        <f>'[1]KESZI költségvetés'!$D$27*1000</f>
        <v>72513000</v>
      </c>
      <c r="D46" s="64">
        <f>'[1]KESZI költségvetés'!$D$27*1000</f>
        <v>72513000</v>
      </c>
      <c r="E46" s="64">
        <f t="shared" si="4"/>
        <v>72513000</v>
      </c>
      <c r="F46" s="64">
        <v>72513000</v>
      </c>
      <c r="G46" s="64">
        <f>72513000+8875817</f>
        <v>81388817</v>
      </c>
    </row>
    <row r="47" spans="1:258" x14ac:dyDescent="0.25">
      <c r="A47" s="66" t="s">
        <v>67</v>
      </c>
      <c r="B47" s="67">
        <v>12615000</v>
      </c>
      <c r="C47" s="64">
        <f>'[1]KESZI költségvetés'!$D$26*1000</f>
        <v>12615000</v>
      </c>
      <c r="D47" s="64">
        <f>'[1]KESZI költségvetés'!$D$26*1000</f>
        <v>12615000</v>
      </c>
      <c r="E47" s="64">
        <f t="shared" si="4"/>
        <v>12615000</v>
      </c>
      <c r="F47" s="64">
        <v>12615000</v>
      </c>
      <c r="G47" s="64">
        <f>3999000*3</f>
        <v>11997000</v>
      </c>
    </row>
    <row r="48" spans="1:258" customFormat="1" x14ac:dyDescent="0.25">
      <c r="A48" s="63" t="s">
        <v>125</v>
      </c>
      <c r="B48" s="69"/>
      <c r="C48" s="64">
        <f>'[1]KESZI költségvetés'!$D$28*1000</f>
        <v>3681000</v>
      </c>
      <c r="D48" s="64">
        <f>'[1]KESZI költségvetés'!$D$28*1000</f>
        <v>3681000</v>
      </c>
      <c r="E48" s="64">
        <f t="shared" si="4"/>
        <v>3681000</v>
      </c>
      <c r="F48" s="64">
        <v>3681000</v>
      </c>
      <c r="G48" s="64">
        <v>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</row>
    <row r="49" spans="1:258" customFormat="1" x14ac:dyDescent="0.25">
      <c r="A49" s="63" t="s">
        <v>173</v>
      </c>
      <c r="B49" s="69"/>
      <c r="C49" s="64"/>
      <c r="D49" s="64">
        <v>5572953</v>
      </c>
      <c r="E49" s="64">
        <f>D49+727583+720852</f>
        <v>7021388</v>
      </c>
      <c r="F49" s="64">
        <v>8795258</v>
      </c>
      <c r="G49" s="64">
        <v>8795258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</row>
    <row r="50" spans="1:258" customFormat="1" x14ac:dyDescent="0.25">
      <c r="A50" s="63" t="s">
        <v>180</v>
      </c>
      <c r="B50" s="69"/>
      <c r="C50" s="64"/>
      <c r="D50" s="64">
        <v>3269344</v>
      </c>
      <c r="E50" s="64">
        <f>D50+2553090</f>
        <v>5822434</v>
      </c>
      <c r="F50" s="64">
        <v>5822434</v>
      </c>
      <c r="G50" s="64">
        <v>5822434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</row>
    <row r="51" spans="1:258" customFormat="1" x14ac:dyDescent="0.25">
      <c r="A51" s="104" t="s">
        <v>181</v>
      </c>
      <c r="B51" s="105"/>
      <c r="C51" s="64"/>
      <c r="D51" s="64">
        <v>1939894</v>
      </c>
      <c r="E51" s="64">
        <f>D51+142138+411480</f>
        <v>2493512</v>
      </c>
      <c r="F51" s="64">
        <v>2696712</v>
      </c>
      <c r="G51" s="64">
        <v>2696712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</row>
    <row r="52" spans="1:258" customFormat="1" x14ac:dyDescent="0.25">
      <c r="A52" s="63" t="s">
        <v>196</v>
      </c>
      <c r="B52" s="69"/>
      <c r="C52" s="64"/>
      <c r="D52" s="64"/>
      <c r="E52" s="64">
        <f>1917645+7670580</f>
        <v>9588225</v>
      </c>
      <c r="F52" s="64">
        <f>9588225+7178365</f>
        <v>16766590</v>
      </c>
      <c r="G52" s="64">
        <f>9588225+7168365</f>
        <v>16756590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</row>
    <row r="53" spans="1:258" s="114" customFormat="1" x14ac:dyDescent="0.25">
      <c r="A53" s="63" t="s">
        <v>208</v>
      </c>
      <c r="B53" s="69"/>
      <c r="C53" s="64"/>
      <c r="D53" s="64"/>
      <c r="E53" s="64">
        <v>-6505497</v>
      </c>
      <c r="F53" s="64">
        <f>-14726474-11365280+11162080</f>
        <v>-14929674</v>
      </c>
      <c r="G53" s="64">
        <f>-27082875+11162080-662987-5194817</f>
        <v>-21778599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</row>
    <row r="54" spans="1:258" x14ac:dyDescent="0.25">
      <c r="B54" s="43">
        <f>SUM(B38:B47)</f>
        <v>296151280</v>
      </c>
      <c r="C54" s="43">
        <f>SUM(C38:C48)</f>
        <v>320755000</v>
      </c>
      <c r="D54" s="43">
        <f>SUM(D38:D51)</f>
        <v>331537191</v>
      </c>
      <c r="E54" s="96">
        <f>SUM(E38:E53)</f>
        <v>345680559</v>
      </c>
      <c r="F54" s="96">
        <f>SUM(F38:F53)</f>
        <v>347657629</v>
      </c>
      <c r="G54" s="96">
        <f>SUM(G38:G53)</f>
        <v>345385521</v>
      </c>
    </row>
    <row r="56" spans="1:258" x14ac:dyDescent="0.25">
      <c r="A56" s="114" t="s">
        <v>226</v>
      </c>
    </row>
  </sheetData>
  <mergeCells count="5">
    <mergeCell ref="A6:C6"/>
    <mergeCell ref="B1:C1"/>
    <mergeCell ref="A3:C3"/>
    <mergeCell ref="A4:C4"/>
    <mergeCell ref="A5:C5"/>
  </mergeCells>
  <phoneticPr fontId="23" type="noConversion"/>
  <pageMargins left="0.70000000000000007" right="0.70000000000000007" top="1.1437007874015752" bottom="1.1437007874015752" header="0.75000000000000011" footer="0.7500000000000001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X46"/>
  <sheetViews>
    <sheetView topLeftCell="A4" workbookViewId="0">
      <selection activeCell="K33" sqref="K33"/>
    </sheetView>
  </sheetViews>
  <sheetFormatPr defaultColWidth="8.75" defaultRowHeight="15" x14ac:dyDescent="0.25"/>
  <cols>
    <col min="1" max="1" width="53.625" style="1" customWidth="1"/>
    <col min="2" max="2" width="13.875" style="1" customWidth="1"/>
    <col min="3" max="3" width="15" style="1" customWidth="1"/>
    <col min="4" max="4" width="14.75" style="1" bestFit="1" customWidth="1"/>
    <col min="5" max="6" width="14.75" style="1" customWidth="1"/>
    <col min="7" max="7" width="13.5" style="1" customWidth="1"/>
    <col min="8" max="8" width="12.25" style="1" customWidth="1"/>
    <col min="9" max="9" width="12.5" style="1" customWidth="1"/>
    <col min="10" max="16384" width="8.75" style="1"/>
  </cols>
  <sheetData>
    <row r="1" spans="1:258" x14ac:dyDescent="0.25">
      <c r="B1" s="203" t="s">
        <v>68</v>
      </c>
      <c r="C1" s="203"/>
    </row>
    <row r="2" spans="1:258" x14ac:dyDescent="0.25">
      <c r="B2" s="2"/>
    </row>
    <row r="3" spans="1:258" x14ac:dyDescent="0.25">
      <c r="A3" s="203" t="s">
        <v>1</v>
      </c>
      <c r="B3" s="203"/>
      <c r="C3" s="203"/>
    </row>
    <row r="4" spans="1:258" x14ac:dyDescent="0.25">
      <c r="A4" s="203" t="s">
        <v>188</v>
      </c>
      <c r="B4" s="203"/>
      <c r="C4" s="203"/>
    </row>
    <row r="5" spans="1:258" ht="15.75" x14ac:dyDescent="0.25">
      <c r="A5" s="207" t="s">
        <v>13</v>
      </c>
      <c r="B5" s="207"/>
      <c r="C5" s="207"/>
    </row>
    <row r="6" spans="1:258" ht="15.75" x14ac:dyDescent="0.25">
      <c r="A6" s="207" t="s">
        <v>14</v>
      </c>
      <c r="B6" s="207"/>
      <c r="C6" s="207"/>
    </row>
    <row r="8" spans="1:258" ht="15.75" x14ac:dyDescent="0.25">
      <c r="B8" s="12"/>
      <c r="C8" s="12" t="s">
        <v>53</v>
      </c>
      <c r="D8" s="12" t="s">
        <v>53</v>
      </c>
      <c r="E8" s="115"/>
      <c r="F8" s="122"/>
    </row>
    <row r="9" spans="1:258" ht="15.75" customHeight="1" x14ac:dyDescent="0.25">
      <c r="A9" s="208" t="s">
        <v>69</v>
      </c>
      <c r="B9" s="208"/>
      <c r="C9" s="208"/>
      <c r="D9" s="106"/>
      <c r="E9" s="106"/>
      <c r="F9" s="106"/>
    </row>
    <row r="10" spans="1:258" ht="15.75" x14ac:dyDescent="0.25">
      <c r="A10" s="14" t="s">
        <v>6</v>
      </c>
      <c r="B10" s="14" t="s">
        <v>18</v>
      </c>
      <c r="C10" s="14" t="s">
        <v>167</v>
      </c>
      <c r="D10" s="14" t="s">
        <v>167</v>
      </c>
      <c r="E10" s="14" t="s">
        <v>167</v>
      </c>
      <c r="F10" s="14" t="s">
        <v>216</v>
      </c>
      <c r="G10" s="15" t="s">
        <v>19</v>
      </c>
    </row>
    <row r="11" spans="1:258" ht="33" customHeight="1" x14ac:dyDescent="0.25">
      <c r="A11" s="16"/>
      <c r="B11" s="17" t="s">
        <v>119</v>
      </c>
      <c r="C11" s="17" t="s">
        <v>191</v>
      </c>
      <c r="D11" s="17" t="s">
        <v>192</v>
      </c>
      <c r="E11" s="17" t="s">
        <v>209</v>
      </c>
      <c r="F11" s="17"/>
      <c r="G11" s="18" t="s">
        <v>120</v>
      </c>
    </row>
    <row r="12" spans="1:258" ht="15.75" x14ac:dyDescent="0.25">
      <c r="A12" s="19" t="s">
        <v>21</v>
      </c>
      <c r="B12" s="20">
        <f>'[1]KGYCSSZK költségvetés'!$F$4/1000</f>
        <v>97862.313999999998</v>
      </c>
      <c r="C12" s="20">
        <v>101752</v>
      </c>
      <c r="D12" s="111">
        <v>108198</v>
      </c>
      <c r="E12" s="111">
        <v>109253</v>
      </c>
      <c r="F12" s="111">
        <v>98922</v>
      </c>
      <c r="G12" s="21" t="s">
        <v>22</v>
      </c>
    </row>
    <row r="13" spans="1:258" ht="15.75" x14ac:dyDescent="0.25">
      <c r="A13" s="19" t="s">
        <v>23</v>
      </c>
      <c r="B13" s="20">
        <f>'[1]KGYCSSZK költségvetés'!$F$5/1000</f>
        <v>24495.052</v>
      </c>
      <c r="C13" s="20">
        <v>25324</v>
      </c>
      <c r="D13" s="111">
        <v>27064</v>
      </c>
      <c r="E13" s="111">
        <v>27402</v>
      </c>
      <c r="F13" s="111">
        <v>26604</v>
      </c>
      <c r="G13" s="21" t="s">
        <v>24</v>
      </c>
    </row>
    <row r="14" spans="1:258" ht="15.75" x14ac:dyDescent="0.25">
      <c r="A14" s="19" t="s">
        <v>25</v>
      </c>
      <c r="B14" s="20">
        <f>'[1]KGYCSSZK költségvetés'!$F$19/1000</f>
        <v>18677</v>
      </c>
      <c r="C14" s="20">
        <v>20701</v>
      </c>
      <c r="D14" s="20">
        <v>20701</v>
      </c>
      <c r="E14" s="20">
        <v>20220</v>
      </c>
      <c r="F14" s="20">
        <v>17929</v>
      </c>
      <c r="G14" s="21" t="s">
        <v>26</v>
      </c>
    </row>
    <row r="15" spans="1:258" ht="15.75" x14ac:dyDescent="0.25">
      <c r="A15" s="19" t="s">
        <v>187</v>
      </c>
      <c r="B15" s="20">
        <f>'[1]KGYCSSZK költségvetés'!$F$20/1000</f>
        <v>420</v>
      </c>
      <c r="C15" s="20">
        <f>'[1]KGYCSSZK költségvetés'!$F$20/1000</f>
        <v>420</v>
      </c>
      <c r="D15" s="20">
        <v>420</v>
      </c>
      <c r="E15" s="20">
        <v>420</v>
      </c>
      <c r="F15" s="20">
        <v>346</v>
      </c>
      <c r="G15" s="21" t="s">
        <v>28</v>
      </c>
    </row>
    <row r="16" spans="1:258" customFormat="1" ht="15.75" x14ac:dyDescent="0.25">
      <c r="A16" s="19" t="s">
        <v>189</v>
      </c>
      <c r="B16" s="20"/>
      <c r="C16" s="20">
        <v>168</v>
      </c>
      <c r="D16" s="20">
        <v>168</v>
      </c>
      <c r="E16" s="20">
        <v>168</v>
      </c>
      <c r="F16" s="20">
        <v>168</v>
      </c>
      <c r="G16" s="21" t="s">
        <v>168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</row>
    <row r="17" spans="1:9" ht="15.75" x14ac:dyDescent="0.25">
      <c r="A17" s="19" t="s">
        <v>29</v>
      </c>
      <c r="B17" s="20">
        <v>0</v>
      </c>
      <c r="C17" s="20">
        <f>270+4086</f>
        <v>4356</v>
      </c>
      <c r="D17" s="20">
        <v>4356</v>
      </c>
      <c r="E17" s="20">
        <f>2351+4586</f>
        <v>6937</v>
      </c>
      <c r="F17" s="20">
        <v>6550</v>
      </c>
      <c r="G17" s="22" t="s">
        <v>30</v>
      </c>
    </row>
    <row r="18" spans="1:9" ht="15.75" x14ac:dyDescent="0.25">
      <c r="A18" s="19" t="s">
        <v>219</v>
      </c>
      <c r="B18" s="20"/>
      <c r="C18" s="20"/>
      <c r="D18" s="20"/>
      <c r="E18" s="20"/>
      <c r="F18" s="20"/>
      <c r="G18" s="22"/>
    </row>
    <row r="19" spans="1:9" ht="15.75" x14ac:dyDescent="0.25">
      <c r="A19" s="24" t="s">
        <v>33</v>
      </c>
      <c r="B19" s="25">
        <f>SUM(B12:B17)</f>
        <v>141454.36599999998</v>
      </c>
      <c r="C19" s="25">
        <f>SUM(C12:C17)</f>
        <v>152721</v>
      </c>
      <c r="D19" s="25">
        <f>SUM(D12:D17)</f>
        <v>160907</v>
      </c>
      <c r="E19" s="25">
        <f>SUM(E12:E17)</f>
        <v>164400</v>
      </c>
      <c r="F19" s="25">
        <f>SUM(F12:F17)</f>
        <v>150519</v>
      </c>
      <c r="G19" s="21"/>
    </row>
    <row r="20" spans="1:9" ht="15.75" x14ac:dyDescent="0.25">
      <c r="A20" s="30" t="s">
        <v>37</v>
      </c>
      <c r="B20" s="27">
        <f>B19</f>
        <v>141454.36599999998</v>
      </c>
      <c r="C20" s="27">
        <f>C19</f>
        <v>152721</v>
      </c>
      <c r="D20" s="27">
        <f>D19</f>
        <v>160907</v>
      </c>
      <c r="E20" s="27">
        <f>E19</f>
        <v>164400</v>
      </c>
      <c r="F20" s="27">
        <f>F19</f>
        <v>150519</v>
      </c>
      <c r="G20" s="21"/>
    </row>
    <row r="21" spans="1:9" ht="15.75" x14ac:dyDescent="0.25">
      <c r="A21" s="31"/>
      <c r="B21" s="29"/>
      <c r="C21" s="29"/>
      <c r="D21" s="29"/>
      <c r="E21" s="29"/>
      <c r="F21" s="29"/>
    </row>
    <row r="22" spans="1:9" ht="15.75" x14ac:dyDescent="0.25">
      <c r="A22" s="19" t="s">
        <v>38</v>
      </c>
      <c r="B22" s="23">
        <f>'[1]KGYCSSZK költségvetés'!$F$25/1000+'[1]KGYCSSZK költségvetés'!$F$24/1000</f>
        <v>2240</v>
      </c>
      <c r="C22" s="23">
        <v>1825</v>
      </c>
      <c r="D22" s="23">
        <v>1825</v>
      </c>
      <c r="E22" s="200">
        <f>1825+1481</f>
        <v>3306</v>
      </c>
      <c r="F22" s="23">
        <v>3306</v>
      </c>
      <c r="G22" s="21" t="s">
        <v>39</v>
      </c>
      <c r="I22" s="1">
        <v>1481</v>
      </c>
    </row>
    <row r="23" spans="1:9" ht="30" x14ac:dyDescent="0.25">
      <c r="A23" s="19" t="s">
        <v>41</v>
      </c>
      <c r="B23" s="20">
        <v>0</v>
      </c>
      <c r="C23" s="20">
        <v>0</v>
      </c>
      <c r="D23" s="20">
        <v>0</v>
      </c>
      <c r="E23" s="20">
        <v>0</v>
      </c>
      <c r="F23" s="20"/>
      <c r="G23" s="22" t="s">
        <v>42</v>
      </c>
    </row>
    <row r="24" spans="1:9" ht="15.75" x14ac:dyDescent="0.25">
      <c r="A24" s="19" t="s">
        <v>43</v>
      </c>
      <c r="B24" s="20">
        <v>0</v>
      </c>
      <c r="C24" s="20">
        <v>0</v>
      </c>
      <c r="D24" s="20">
        <v>0</v>
      </c>
      <c r="E24" s="20">
        <v>0</v>
      </c>
      <c r="F24" s="20"/>
      <c r="G24" s="21"/>
    </row>
    <row r="25" spans="1:9" ht="15.75" x14ac:dyDescent="0.25">
      <c r="A25" s="19" t="s">
        <v>44</v>
      </c>
      <c r="B25" s="20">
        <f>'[1]KGYCSSZK költségvetés'!$F$23/1000</f>
        <v>370</v>
      </c>
      <c r="C25" s="20">
        <f>1250+1414</f>
        <v>2664</v>
      </c>
      <c r="D25" s="20">
        <v>2664</v>
      </c>
      <c r="E25" s="201">
        <f>1250+3014+1004</f>
        <v>5268</v>
      </c>
      <c r="F25" s="20">
        <v>5268</v>
      </c>
      <c r="G25" s="21" t="s">
        <v>217</v>
      </c>
      <c r="I25" s="1">
        <v>1004</v>
      </c>
    </row>
    <row r="26" spans="1:9" ht="15.75" x14ac:dyDescent="0.25">
      <c r="A26" s="19" t="s">
        <v>46</v>
      </c>
      <c r="B26" s="20">
        <v>0</v>
      </c>
      <c r="C26" s="20">
        <v>0</v>
      </c>
      <c r="D26" s="20">
        <v>0</v>
      </c>
      <c r="E26" s="20">
        <v>0</v>
      </c>
      <c r="F26" s="20"/>
      <c r="G26" s="21"/>
    </row>
    <row r="27" spans="1:9" ht="15.75" x14ac:dyDescent="0.25">
      <c r="A27" s="19" t="s">
        <v>70</v>
      </c>
      <c r="B27" s="20">
        <f>'[1]KGYCSSZK költségvetés'!$F$27/1000</f>
        <v>138844.36600000001</v>
      </c>
      <c r="C27" s="20">
        <v>147817</v>
      </c>
      <c r="D27" s="111">
        <v>156003</v>
      </c>
      <c r="E27" s="201">
        <f>157896-1481-1004</f>
        <v>155411</v>
      </c>
      <c r="F27" s="111">
        <v>145760</v>
      </c>
      <c r="G27" s="21" t="s">
        <v>45</v>
      </c>
    </row>
    <row r="28" spans="1:9" ht="15.75" x14ac:dyDescent="0.25">
      <c r="A28" s="19" t="s">
        <v>47</v>
      </c>
      <c r="B28" s="20">
        <v>0</v>
      </c>
      <c r="C28" s="20">
        <v>0</v>
      </c>
      <c r="D28" s="20">
        <v>0</v>
      </c>
      <c r="E28" s="20">
        <v>0</v>
      </c>
      <c r="F28" s="20"/>
      <c r="G28" s="21" t="s">
        <v>48</v>
      </c>
    </row>
    <row r="29" spans="1:9" ht="15.75" x14ac:dyDescent="0.25">
      <c r="A29" s="24" t="s">
        <v>49</v>
      </c>
      <c r="B29" s="25">
        <f>SUM(B28,B27,B25,B22)</f>
        <v>141454.36600000001</v>
      </c>
      <c r="C29" s="25">
        <f>SUM(C28,C27,C25,C22)</f>
        <v>152306</v>
      </c>
      <c r="D29" s="25">
        <f>SUM(D22:D28)</f>
        <v>160492</v>
      </c>
      <c r="E29" s="25">
        <f>SUM(E22:E28)</f>
        <v>163985</v>
      </c>
      <c r="F29" s="25">
        <f>SUM(F22:F28)</f>
        <v>154334</v>
      </c>
      <c r="G29" s="21"/>
    </row>
    <row r="30" spans="1:9" ht="15.75" x14ac:dyDescent="0.25">
      <c r="A30" s="19" t="s">
        <v>169</v>
      </c>
      <c r="B30" s="20">
        <v>0</v>
      </c>
      <c r="C30" s="20">
        <v>415</v>
      </c>
      <c r="D30" s="20">
        <v>415</v>
      </c>
      <c r="E30" s="20">
        <v>415</v>
      </c>
      <c r="F30" s="20">
        <v>415</v>
      </c>
      <c r="G30" s="21" t="s">
        <v>193</v>
      </c>
    </row>
    <row r="31" spans="1:9" ht="15.75" x14ac:dyDescent="0.25">
      <c r="A31" s="33" t="s">
        <v>51</v>
      </c>
      <c r="B31" s="27">
        <f>SUM(B29+B30)</f>
        <v>141454.36600000001</v>
      </c>
      <c r="C31" s="27">
        <f>SUM(C29+C30)</f>
        <v>152721</v>
      </c>
      <c r="D31" s="27">
        <f>SUM(D29+D30)</f>
        <v>160907</v>
      </c>
      <c r="E31" s="27">
        <f>SUM(E29+E30)</f>
        <v>164400</v>
      </c>
      <c r="F31" s="27">
        <f>SUM(F29+F30)</f>
        <v>154749</v>
      </c>
      <c r="G31" s="21"/>
    </row>
    <row r="33" spans="1:258" ht="30" x14ac:dyDescent="0.25">
      <c r="A33" s="70" t="s">
        <v>172</v>
      </c>
      <c r="B33" s="2" t="s">
        <v>56</v>
      </c>
    </row>
    <row r="34" spans="1:258" customFormat="1" x14ac:dyDescent="0.25">
      <c r="A34" s="70"/>
      <c r="B34" s="2" t="s">
        <v>171</v>
      </c>
      <c r="C34" s="2" t="s">
        <v>194</v>
      </c>
      <c r="D34" s="119" t="s">
        <v>195</v>
      </c>
      <c r="E34" s="119" t="s">
        <v>207</v>
      </c>
      <c r="F34" s="119" t="s">
        <v>216</v>
      </c>
      <c r="G34" s="120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</row>
    <row r="35" spans="1:258" x14ac:dyDescent="0.25">
      <c r="A35" s="44" t="s">
        <v>71</v>
      </c>
      <c r="B35" s="62">
        <v>78138520</v>
      </c>
      <c r="C35" s="64">
        <f>[2]Munka1!$E$6+[2]Munka1!$E$7+[2]Munka1!$E$8+[2]Munka1!$E$9</f>
        <v>78138520</v>
      </c>
      <c r="D35" s="64">
        <f t="shared" ref="D35:D40" si="0">C35</f>
        <v>78138520</v>
      </c>
      <c r="E35" s="64">
        <v>78138520</v>
      </c>
      <c r="F35" s="64">
        <v>78138520</v>
      </c>
      <c r="G35" s="118"/>
    </row>
    <row r="36" spans="1:258" x14ac:dyDescent="0.25">
      <c r="A36" s="21" t="s">
        <v>66</v>
      </c>
      <c r="B36" s="62">
        <v>42261266</v>
      </c>
      <c r="C36" s="64">
        <f>'[1]KGYCSSZK költségvetés'!$F$32</f>
        <v>42261266</v>
      </c>
      <c r="D36" s="64">
        <f t="shared" si="0"/>
        <v>42261266</v>
      </c>
      <c r="E36" s="64">
        <v>42261266</v>
      </c>
      <c r="F36" s="64">
        <f>30124995+366+3260500</f>
        <v>33385861</v>
      </c>
      <c r="G36" s="118"/>
    </row>
    <row r="37" spans="1:258" x14ac:dyDescent="0.25">
      <c r="A37" s="66" t="s">
        <v>174</v>
      </c>
      <c r="B37" s="67">
        <v>7282500</v>
      </c>
      <c r="C37" s="68">
        <f>'[1]KGYCSSZK költségvetés'!$F$31</f>
        <v>7282500</v>
      </c>
      <c r="D37" s="64">
        <f t="shared" si="0"/>
        <v>7282500</v>
      </c>
      <c r="E37" s="64">
        <v>7282500</v>
      </c>
      <c r="F37" s="64">
        <v>4022000</v>
      </c>
      <c r="G37" s="118"/>
    </row>
    <row r="38" spans="1:258" customFormat="1" ht="30" x14ac:dyDescent="0.25">
      <c r="A38" s="73" t="s">
        <v>175</v>
      </c>
      <c r="B38" s="69">
        <v>11162080</v>
      </c>
      <c r="C38" s="69">
        <v>11162080</v>
      </c>
      <c r="D38" s="64">
        <f t="shared" si="0"/>
        <v>11162080</v>
      </c>
      <c r="E38" s="64">
        <v>11162080</v>
      </c>
      <c r="F38" s="64">
        <v>11162080</v>
      </c>
      <c r="G38" s="116"/>
      <c r="H38" s="96"/>
      <c r="I38" s="9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</row>
    <row r="39" spans="1:258" customFormat="1" x14ac:dyDescent="0.25">
      <c r="A39" s="63" t="s">
        <v>177</v>
      </c>
      <c r="B39" s="69"/>
      <c r="C39" s="64">
        <v>4086225</v>
      </c>
      <c r="D39" s="64">
        <f t="shared" si="0"/>
        <v>4086225</v>
      </c>
      <c r="E39" s="64">
        <f>4086225+500000</f>
        <v>4586225</v>
      </c>
      <c r="F39" s="64">
        <v>4586225</v>
      </c>
      <c r="G39" s="11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</row>
    <row r="40" spans="1:258" customFormat="1" x14ac:dyDescent="0.25">
      <c r="A40" s="63" t="s">
        <v>178</v>
      </c>
      <c r="B40" s="69"/>
      <c r="C40" s="64">
        <v>1800186</v>
      </c>
      <c r="D40" s="64">
        <f t="shared" si="0"/>
        <v>1800186</v>
      </c>
      <c r="E40" s="64">
        <v>2279738</v>
      </c>
      <c r="F40" s="64">
        <v>2279698</v>
      </c>
      <c r="G40" s="11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</row>
    <row r="41" spans="1:258" customFormat="1" x14ac:dyDescent="0.25">
      <c r="A41" s="63" t="s">
        <v>176</v>
      </c>
      <c r="B41" s="69"/>
      <c r="C41" s="64">
        <v>3086688</v>
      </c>
      <c r="D41" s="64">
        <f>C41+820166</f>
        <v>3906854</v>
      </c>
      <c r="E41" s="64">
        <f>D41+362204+374777+374777-198327</f>
        <v>4820285</v>
      </c>
      <c r="F41" s="64">
        <v>4820285</v>
      </c>
      <c r="G41" s="11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</row>
    <row r="42" spans="1:258" customFormat="1" x14ac:dyDescent="0.25">
      <c r="A42" s="63" t="s">
        <v>196</v>
      </c>
      <c r="B42" s="69"/>
      <c r="C42" s="64"/>
      <c r="D42" s="64">
        <f>1473110+5892440</f>
        <v>7365550</v>
      </c>
      <c r="E42" s="64">
        <f>D42</f>
        <v>7365550</v>
      </c>
      <c r="F42" s="64">
        <v>7365550</v>
      </c>
      <c r="G42" s="11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</row>
    <row r="43" spans="1:258" s="114" customFormat="1" x14ac:dyDescent="0.25">
      <c r="A43" s="63" t="s">
        <v>208</v>
      </c>
      <c r="B43" s="69"/>
      <c r="C43" s="64">
        <v>-366</v>
      </c>
      <c r="D43" s="64">
        <v>-366</v>
      </c>
      <c r="E43" s="64">
        <v>-366</v>
      </c>
      <c r="F43" s="64">
        <v>-366</v>
      </c>
      <c r="G43" s="11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</row>
    <row r="44" spans="1:258" x14ac:dyDescent="0.25">
      <c r="A44" s="1" t="s">
        <v>72</v>
      </c>
      <c r="B44" s="43">
        <f>SUM(B35:B39)</f>
        <v>138844366</v>
      </c>
      <c r="C44" s="43">
        <f>SUM(C35:C43)</f>
        <v>147817099</v>
      </c>
      <c r="D44" s="96">
        <f>SUM(D35:D43)</f>
        <v>156002815</v>
      </c>
      <c r="E44" s="96">
        <f>SUM(E35:E43)</f>
        <v>157895798</v>
      </c>
      <c r="F44" s="96">
        <f>SUM(F35:F43)</f>
        <v>145759853</v>
      </c>
    </row>
    <row r="46" spans="1:258" x14ac:dyDescent="0.25">
      <c r="A46" s="165" t="s">
        <v>226</v>
      </c>
      <c r="I46" s="96"/>
    </row>
  </sheetData>
  <mergeCells count="6">
    <mergeCell ref="A9:C9"/>
    <mergeCell ref="B1:C1"/>
    <mergeCell ref="A3:C3"/>
    <mergeCell ref="A4:C4"/>
    <mergeCell ref="A5:C5"/>
    <mergeCell ref="A6:C6"/>
  </mergeCells>
  <phoneticPr fontId="23" type="noConversion"/>
  <pageMargins left="0.70000000000000007" right="0.70000000000000007" top="1.1437007874015752" bottom="1.1437007874015752" header="0.75000000000000011" footer="0.75000000000000011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A8" workbookViewId="0">
      <selection activeCell="E25" sqref="E25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customWidth="1"/>
    <col min="4" max="6" width="12.875" style="1" customWidth="1"/>
    <col min="7" max="16384" width="8.75" style="1"/>
  </cols>
  <sheetData>
    <row r="1" spans="1:7" x14ac:dyDescent="0.25">
      <c r="B1" s="203" t="s">
        <v>73</v>
      </c>
      <c r="C1" s="203"/>
    </row>
    <row r="2" spans="1:7" x14ac:dyDescent="0.25">
      <c r="B2" s="2"/>
    </row>
    <row r="3" spans="1:7" x14ac:dyDescent="0.25">
      <c r="A3" s="203" t="s">
        <v>1</v>
      </c>
      <c r="B3" s="203"/>
      <c r="C3" s="203"/>
    </row>
    <row r="4" spans="1:7" x14ac:dyDescent="0.25">
      <c r="A4" s="203" t="s">
        <v>188</v>
      </c>
      <c r="B4" s="203"/>
      <c r="C4" s="203"/>
    </row>
    <row r="5" spans="1:7" ht="15.75" x14ac:dyDescent="0.25">
      <c r="A5" s="207" t="s">
        <v>13</v>
      </c>
      <c r="B5" s="207"/>
      <c r="C5" s="207"/>
    </row>
    <row r="6" spans="1:7" ht="15.75" x14ac:dyDescent="0.25">
      <c r="A6" s="207" t="s">
        <v>14</v>
      </c>
      <c r="B6" s="207"/>
      <c r="C6" s="207"/>
    </row>
    <row r="8" spans="1:7" ht="31.5" x14ac:dyDescent="0.25">
      <c r="B8" s="12"/>
      <c r="C8" s="45" t="s">
        <v>74</v>
      </c>
      <c r="D8" s="45" t="s">
        <v>74</v>
      </c>
      <c r="E8" s="45" t="s">
        <v>74</v>
      </c>
      <c r="F8" s="45" t="s">
        <v>74</v>
      </c>
    </row>
    <row r="9" spans="1:7" ht="15.75" customHeight="1" x14ac:dyDescent="0.25">
      <c r="A9" s="208" t="s">
        <v>8</v>
      </c>
      <c r="B9" s="208"/>
      <c r="C9" s="208"/>
    </row>
    <row r="10" spans="1:7" ht="15.75" x14ac:dyDescent="0.25">
      <c r="A10" s="14" t="s">
        <v>6</v>
      </c>
      <c r="B10" s="38" t="s">
        <v>18</v>
      </c>
      <c r="C10" s="38" t="s">
        <v>167</v>
      </c>
      <c r="D10" s="38" t="s">
        <v>167</v>
      </c>
      <c r="E10" s="38" t="s">
        <v>167</v>
      </c>
      <c r="F10" s="38" t="s">
        <v>216</v>
      </c>
      <c r="G10" s="15" t="s">
        <v>19</v>
      </c>
    </row>
    <row r="11" spans="1:7" ht="33" customHeight="1" x14ac:dyDescent="0.25">
      <c r="A11" s="16"/>
      <c r="B11" s="39" t="s">
        <v>119</v>
      </c>
      <c r="C11" s="39" t="s">
        <v>191</v>
      </c>
      <c r="D11" s="39" t="s">
        <v>192</v>
      </c>
      <c r="E11" s="39" t="s">
        <v>209</v>
      </c>
      <c r="F11" s="39"/>
      <c r="G11" s="18" t="s">
        <v>120</v>
      </c>
    </row>
    <row r="12" spans="1:7" ht="15.75" x14ac:dyDescent="0.25">
      <c r="A12" s="19" t="s">
        <v>21</v>
      </c>
      <c r="B12" s="23">
        <f>[1]Munka1!$C$6/1000</f>
        <v>1000</v>
      </c>
      <c r="C12" s="23">
        <f>[1]Munka1!$C$6/1000</f>
        <v>1000</v>
      </c>
      <c r="D12" s="23">
        <v>1000</v>
      </c>
      <c r="E12" s="23">
        <v>1000</v>
      </c>
      <c r="F12" s="23">
        <v>190</v>
      </c>
      <c r="G12" s="21" t="s">
        <v>22</v>
      </c>
    </row>
    <row r="13" spans="1:7" ht="15.75" x14ac:dyDescent="0.25">
      <c r="A13" s="19" t="s">
        <v>23</v>
      </c>
      <c r="B13" s="23">
        <f>[1]Munka1!$C$11/1000</f>
        <v>511.7</v>
      </c>
      <c r="C13" s="23">
        <f>[1]Munka1!$C$11/1000</f>
        <v>511.7</v>
      </c>
      <c r="D13" s="23">
        <v>512</v>
      </c>
      <c r="E13" s="23">
        <v>512</v>
      </c>
      <c r="F13" s="23">
        <v>88</v>
      </c>
      <c r="G13" s="21" t="s">
        <v>24</v>
      </c>
    </row>
    <row r="14" spans="1:7" ht="15.75" x14ac:dyDescent="0.25">
      <c r="A14" s="19" t="s">
        <v>25</v>
      </c>
      <c r="B14" s="23">
        <f>[1]Munka1!$C$19/1000</f>
        <v>12821.3</v>
      </c>
      <c r="C14" s="23">
        <v>18181</v>
      </c>
      <c r="D14" s="112">
        <v>16724</v>
      </c>
      <c r="E14" s="112">
        <v>21817</v>
      </c>
      <c r="F14" s="112">
        <v>10159</v>
      </c>
      <c r="G14" s="21" t="s">
        <v>26</v>
      </c>
    </row>
    <row r="15" spans="1:7" ht="15.75" x14ac:dyDescent="0.25">
      <c r="A15" s="19" t="s">
        <v>27</v>
      </c>
      <c r="B15" s="23">
        <f>[1]Munka1!$C$24/1000</f>
        <v>6127</v>
      </c>
      <c r="C15" s="23">
        <v>8247</v>
      </c>
      <c r="D15" s="112">
        <v>9704</v>
      </c>
      <c r="E15" s="112">
        <f>2120+5057+2527</f>
        <v>9704</v>
      </c>
      <c r="F15" s="112">
        <v>5484</v>
      </c>
      <c r="G15" s="21" t="s">
        <v>126</v>
      </c>
    </row>
    <row r="16" spans="1:7" ht="15.75" x14ac:dyDescent="0.25">
      <c r="A16" s="19" t="s">
        <v>210</v>
      </c>
      <c r="B16" s="23">
        <v>0</v>
      </c>
      <c r="C16" s="23">
        <v>0</v>
      </c>
      <c r="D16" s="112">
        <v>0</v>
      </c>
      <c r="E16" s="112">
        <v>1827</v>
      </c>
      <c r="F16" s="112">
        <v>1827</v>
      </c>
      <c r="G16" s="21" t="s">
        <v>211</v>
      </c>
    </row>
    <row r="17" spans="1:7" ht="15.75" x14ac:dyDescent="0.25">
      <c r="A17" s="19" t="s">
        <v>75</v>
      </c>
      <c r="B17" s="23">
        <f>[1]Munka1!$C$33/1000</f>
        <v>459599.36599999998</v>
      </c>
      <c r="C17" s="23">
        <v>479354</v>
      </c>
      <c r="D17" s="112">
        <v>501683</v>
      </c>
      <c r="E17" s="200">
        <f>505553-1004-1481</f>
        <v>503068</v>
      </c>
      <c r="F17" s="112">
        <v>491146</v>
      </c>
      <c r="G17" s="22" t="s">
        <v>76</v>
      </c>
    </row>
    <row r="18" spans="1:7" ht="30" x14ac:dyDescent="0.25">
      <c r="A18" s="19" t="s">
        <v>29</v>
      </c>
      <c r="B18" s="23">
        <v>0</v>
      </c>
      <c r="C18" s="23">
        <v>0</v>
      </c>
      <c r="D18" s="23">
        <v>0</v>
      </c>
      <c r="E18" s="23">
        <v>0</v>
      </c>
      <c r="F18" s="23"/>
      <c r="G18" s="22" t="s">
        <v>30</v>
      </c>
    </row>
    <row r="19" spans="1:7" ht="15.75" x14ac:dyDescent="0.25">
      <c r="A19" s="19" t="s">
        <v>31</v>
      </c>
      <c r="B19" s="23">
        <v>0</v>
      </c>
      <c r="C19" s="23">
        <v>0</v>
      </c>
      <c r="D19" s="23">
        <v>0</v>
      </c>
      <c r="E19" s="23">
        <v>0</v>
      </c>
      <c r="F19" s="23"/>
      <c r="G19" s="21" t="s">
        <v>32</v>
      </c>
    </row>
    <row r="20" spans="1:7" ht="15.75" x14ac:dyDescent="0.25">
      <c r="A20" s="24" t="s">
        <v>33</v>
      </c>
      <c r="B20" s="25">
        <f>SUM(B12:B19)</f>
        <v>480059.36599999998</v>
      </c>
      <c r="C20" s="25">
        <f>SUM(C12:C19)</f>
        <v>507293.7</v>
      </c>
      <c r="D20" s="25">
        <f>SUM(D12:D19)</f>
        <v>529623</v>
      </c>
      <c r="E20" s="25">
        <f>SUM(E12:E19)</f>
        <v>537928</v>
      </c>
      <c r="F20" s="25">
        <f>SUM(F12:F19)</f>
        <v>508894</v>
      </c>
      <c r="G20" s="21"/>
    </row>
    <row r="21" spans="1:7" ht="15.75" x14ac:dyDescent="0.25">
      <c r="A21" s="19" t="s">
        <v>34</v>
      </c>
      <c r="B21" s="23">
        <f>[1]Munka1!$C$25/1000</f>
        <v>18060</v>
      </c>
      <c r="C21" s="23">
        <v>23631</v>
      </c>
      <c r="D21" s="113">
        <v>20524</v>
      </c>
      <c r="E21" s="113">
        <v>16602</v>
      </c>
      <c r="F21" s="113">
        <v>0</v>
      </c>
      <c r="G21" s="66" t="s">
        <v>127</v>
      </c>
    </row>
    <row r="22" spans="1:7" ht="15.75" x14ac:dyDescent="0.25">
      <c r="A22" s="30" t="s">
        <v>37</v>
      </c>
      <c r="B22" s="28">
        <f>SUM(B20+B21)</f>
        <v>498119.36599999998</v>
      </c>
      <c r="C22" s="28">
        <f>SUM(C20+C21)</f>
        <v>530924.69999999995</v>
      </c>
      <c r="D22" s="98">
        <f>SUM(D20:D21)</f>
        <v>550147</v>
      </c>
      <c r="E22" s="98">
        <f>SUM(E20:E21)</f>
        <v>554530</v>
      </c>
      <c r="F22" s="98">
        <f>SUM(F20:F21)</f>
        <v>508894</v>
      </c>
      <c r="G22" s="63"/>
    </row>
    <row r="23" spans="1:7" ht="15.75" x14ac:dyDescent="0.25">
      <c r="A23" s="31"/>
      <c r="B23" s="29"/>
      <c r="C23" s="29"/>
      <c r="D23" s="29"/>
      <c r="E23" s="29"/>
      <c r="F23" s="29"/>
      <c r="G23" s="46"/>
    </row>
    <row r="24" spans="1:7" ht="15.75" x14ac:dyDescent="0.25">
      <c r="A24" s="19" t="s">
        <v>38</v>
      </c>
      <c r="B24" s="23">
        <v>0</v>
      </c>
      <c r="C24" s="23">
        <v>10580</v>
      </c>
      <c r="D24" s="23">
        <v>10580</v>
      </c>
      <c r="E24" s="23">
        <f>11677-1481-1004</f>
        <v>9192</v>
      </c>
      <c r="F24" s="23">
        <v>6828</v>
      </c>
      <c r="G24" s="21" t="s">
        <v>39</v>
      </c>
    </row>
    <row r="25" spans="1:7" ht="15.75" x14ac:dyDescent="0.25">
      <c r="A25" s="19" t="s">
        <v>40</v>
      </c>
      <c r="B25" s="23">
        <v>0</v>
      </c>
      <c r="C25" s="23">
        <v>0</v>
      </c>
      <c r="D25" s="23">
        <v>0</v>
      </c>
      <c r="E25" s="23">
        <v>0</v>
      </c>
      <c r="F25" s="23"/>
      <c r="G25" s="21"/>
    </row>
    <row r="26" spans="1:7" ht="45" x14ac:dyDescent="0.25">
      <c r="A26" s="19" t="s">
        <v>41</v>
      </c>
      <c r="B26" s="23">
        <v>0</v>
      </c>
      <c r="C26" s="23">
        <v>0</v>
      </c>
      <c r="D26" s="23">
        <v>0</v>
      </c>
      <c r="E26" s="23">
        <v>0</v>
      </c>
      <c r="F26" s="23"/>
      <c r="G26" s="22" t="s">
        <v>42</v>
      </c>
    </row>
    <row r="27" spans="1:7" ht="15.75" x14ac:dyDescent="0.25">
      <c r="A27" s="19" t="s">
        <v>43</v>
      </c>
      <c r="B27" s="23">
        <v>0</v>
      </c>
      <c r="C27" s="23">
        <v>0</v>
      </c>
      <c r="D27" s="23">
        <v>0</v>
      </c>
      <c r="E27" s="23">
        <v>0</v>
      </c>
      <c r="F27" s="23"/>
      <c r="G27" s="21"/>
    </row>
    <row r="28" spans="1:7" ht="30" x14ac:dyDescent="0.25">
      <c r="A28" s="19" t="s">
        <v>44</v>
      </c>
      <c r="B28" s="23">
        <f>[1]Munka1!$C$65/1000+[1]Munka1!$C$46/1000+[1]Munka1!$C$45/1000+[1]Munka1!$C$44/1000</f>
        <v>498119.36599999998</v>
      </c>
      <c r="C28" s="23">
        <v>517087</v>
      </c>
      <c r="D28" s="112">
        <v>536309</v>
      </c>
      <c r="E28" s="112">
        <f>539296+2784</f>
        <v>542080</v>
      </c>
      <c r="F28" s="112">
        <v>536632</v>
      </c>
      <c r="G28" s="22" t="s">
        <v>212</v>
      </c>
    </row>
    <row r="29" spans="1:7" ht="15.75" x14ac:dyDescent="0.25">
      <c r="A29" s="19" t="s">
        <v>46</v>
      </c>
      <c r="B29" s="23">
        <f>[1]Munka1!$C$47/1000</f>
        <v>321246.49599999998</v>
      </c>
      <c r="C29" s="23">
        <v>340582</v>
      </c>
      <c r="D29" s="112">
        <v>366310</v>
      </c>
      <c r="E29" s="112">
        <v>371122</v>
      </c>
      <c r="F29" s="112">
        <v>531648</v>
      </c>
      <c r="G29" s="21"/>
    </row>
    <row r="30" spans="1:7" ht="15.75" x14ac:dyDescent="0.25">
      <c r="A30" s="19" t="s">
        <v>70</v>
      </c>
      <c r="B30" s="23">
        <v>0</v>
      </c>
      <c r="C30" s="23">
        <v>0</v>
      </c>
      <c r="D30" s="23">
        <v>0</v>
      </c>
      <c r="E30" s="23">
        <v>0</v>
      </c>
      <c r="F30" s="23"/>
      <c r="G30" s="21"/>
    </row>
    <row r="31" spans="1:7" ht="15.75" x14ac:dyDescent="0.25">
      <c r="A31" s="19" t="s">
        <v>47</v>
      </c>
      <c r="B31" s="23">
        <v>0</v>
      </c>
      <c r="C31" s="23">
        <v>0</v>
      </c>
      <c r="D31" s="23">
        <v>0</v>
      </c>
      <c r="E31" s="23">
        <v>0</v>
      </c>
      <c r="F31" s="23"/>
      <c r="G31" s="21" t="s">
        <v>48</v>
      </c>
    </row>
    <row r="32" spans="1:7" ht="15.75" x14ac:dyDescent="0.25">
      <c r="A32" s="24" t="s">
        <v>49</v>
      </c>
      <c r="B32" s="25">
        <f>SUM(B24+B25+B26+B28+B30+B31)</f>
        <v>498119.36599999998</v>
      </c>
      <c r="C32" s="25">
        <f>SUM(C24+C25+C26+C28+C30+C31)</f>
        <v>527667</v>
      </c>
      <c r="D32" s="25">
        <f>D24+D25+D26+D28+D30+D31</f>
        <v>546889</v>
      </c>
      <c r="E32" s="25">
        <f>E24+E25+E26+E28+E30+E31</f>
        <v>551272</v>
      </c>
      <c r="F32" s="25">
        <f>F24+F25+F26+F28+F30+F31</f>
        <v>543460</v>
      </c>
      <c r="G32" s="21"/>
    </row>
    <row r="33" spans="1:7" ht="15.75" x14ac:dyDescent="0.25">
      <c r="A33" s="19" t="s">
        <v>169</v>
      </c>
      <c r="B33" s="20">
        <v>0</v>
      </c>
      <c r="C33" s="20">
        <v>3258</v>
      </c>
      <c r="D33" s="20">
        <v>3258</v>
      </c>
      <c r="E33" s="20">
        <v>3258</v>
      </c>
      <c r="F33" s="20">
        <v>3258</v>
      </c>
      <c r="G33" s="21" t="s">
        <v>193</v>
      </c>
    </row>
    <row r="34" spans="1:7" ht="15.75" x14ac:dyDescent="0.25">
      <c r="A34" s="33" t="s">
        <v>51</v>
      </c>
      <c r="B34" s="27">
        <f>B32+B33</f>
        <v>498119.36599999998</v>
      </c>
      <c r="C34" s="27">
        <f>C32+C33</f>
        <v>530925</v>
      </c>
      <c r="D34" s="27">
        <f>SUM(D32:D33)</f>
        <v>550147</v>
      </c>
      <c r="E34" s="27">
        <f>SUM(E32:E33)</f>
        <v>554530</v>
      </c>
      <c r="F34" s="27">
        <f>SUM(F32:F33)</f>
        <v>546718</v>
      </c>
      <c r="G34" s="21"/>
    </row>
    <row r="36" spans="1:7" x14ac:dyDescent="0.25">
      <c r="A36"/>
    </row>
    <row r="37" spans="1:7" x14ac:dyDescent="0.25">
      <c r="A37"/>
    </row>
    <row r="38" spans="1:7" x14ac:dyDescent="0.25">
      <c r="A38"/>
    </row>
    <row r="40" spans="1:7" x14ac:dyDescent="0.25">
      <c r="A40" s="165" t="s">
        <v>226</v>
      </c>
    </row>
  </sheetData>
  <mergeCells count="6">
    <mergeCell ref="A9:C9"/>
    <mergeCell ref="B1:C1"/>
    <mergeCell ref="A3:C3"/>
    <mergeCell ref="A4:C4"/>
    <mergeCell ref="A5:C5"/>
    <mergeCell ref="A6:C6"/>
  </mergeCells>
  <phoneticPr fontId="23" type="noConversion"/>
  <pageMargins left="0.70000000000000007" right="0.70000000000000007" top="1.1437007874015752" bottom="1.1437007874015752" header="0.75000000000000011" footer="0.75000000000000011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4"/>
  <sheetViews>
    <sheetView topLeftCell="A10" workbookViewId="0">
      <selection activeCell="A34" sqref="A34"/>
    </sheetView>
  </sheetViews>
  <sheetFormatPr defaultColWidth="9.375" defaultRowHeight="15" x14ac:dyDescent="0.25"/>
  <cols>
    <col min="1" max="1" width="31.5" style="1" customWidth="1"/>
    <col min="2" max="2" width="15.75" style="1" customWidth="1"/>
    <col min="3" max="3" width="14.25" style="1" customWidth="1"/>
    <col min="4" max="4" width="15.25" style="1" customWidth="1"/>
    <col min="5" max="5" width="18.75" style="1" customWidth="1"/>
    <col min="6" max="6" width="14.625" style="1" customWidth="1"/>
    <col min="7" max="7" width="20.875" style="1" customWidth="1"/>
    <col min="8" max="8" width="15.125" style="1" customWidth="1"/>
    <col min="9" max="9" width="13.25" style="1" customWidth="1"/>
    <col min="10" max="10" width="9.375" style="1"/>
    <col min="11" max="11" width="10.375" style="1" bestFit="1" customWidth="1"/>
    <col min="12" max="16384" width="9.375" style="1"/>
  </cols>
  <sheetData>
    <row r="1" spans="1:8" x14ac:dyDescent="0.25">
      <c r="B1" s="205"/>
      <c r="C1" s="205"/>
      <c r="F1" s="2"/>
      <c r="G1" s="2" t="s">
        <v>77</v>
      </c>
    </row>
    <row r="2" spans="1:8" x14ac:dyDescent="0.25">
      <c r="A2" s="203" t="s">
        <v>1</v>
      </c>
      <c r="B2" s="203"/>
      <c r="C2" s="203"/>
      <c r="D2" s="203"/>
      <c r="E2" s="203"/>
      <c r="F2" s="203"/>
      <c r="G2" s="203"/>
      <c r="H2" s="203"/>
    </row>
    <row r="3" spans="1:8" x14ac:dyDescent="0.25">
      <c r="A3" s="203" t="s">
        <v>188</v>
      </c>
      <c r="B3" s="203"/>
      <c r="C3" s="203"/>
      <c r="D3" s="203"/>
      <c r="E3" s="203"/>
      <c r="F3" s="203"/>
      <c r="G3" s="203"/>
      <c r="H3" s="20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203" t="s">
        <v>221</v>
      </c>
      <c r="B5" s="203"/>
      <c r="C5" s="203"/>
      <c r="D5" s="203"/>
      <c r="E5" s="203"/>
      <c r="F5" s="203"/>
      <c r="G5" s="203"/>
      <c r="H5" s="203"/>
    </row>
    <row r="6" spans="1:8" x14ac:dyDescent="0.25">
      <c r="A6" s="203" t="s">
        <v>222</v>
      </c>
      <c r="B6" s="203"/>
      <c r="C6" s="203"/>
      <c r="D6" s="203"/>
      <c r="E6" s="203"/>
      <c r="F6" s="203"/>
      <c r="G6" s="203"/>
      <c r="H6" s="203"/>
    </row>
    <row r="7" spans="1:8" x14ac:dyDescent="0.25">
      <c r="A7" s="203" t="s">
        <v>14</v>
      </c>
      <c r="B7" s="203"/>
      <c r="C7" s="203"/>
      <c r="D7" s="203"/>
      <c r="E7" s="203"/>
      <c r="F7" s="203"/>
      <c r="G7" s="203"/>
      <c r="H7" s="203"/>
    </row>
    <row r="8" spans="1:8" x14ac:dyDescent="0.25">
      <c r="A8" s="2" t="s">
        <v>90</v>
      </c>
    </row>
    <row r="9" spans="1:8" x14ac:dyDescent="0.25">
      <c r="A9" s="2"/>
    </row>
    <row r="10" spans="1:8" ht="30" x14ac:dyDescent="0.25">
      <c r="A10" s="2" t="s">
        <v>78</v>
      </c>
      <c r="B10" s="124" t="s">
        <v>21</v>
      </c>
      <c r="C10" s="125" t="s">
        <v>79</v>
      </c>
      <c r="D10" s="125" t="s">
        <v>80</v>
      </c>
      <c r="E10" s="124" t="s">
        <v>81</v>
      </c>
      <c r="F10" s="125" t="s">
        <v>82</v>
      </c>
      <c r="G10" s="124" t="s">
        <v>83</v>
      </c>
      <c r="H10" s="125" t="s">
        <v>72</v>
      </c>
    </row>
    <row r="11" spans="1:8" ht="30" x14ac:dyDescent="0.25">
      <c r="A11" s="22" t="s">
        <v>10</v>
      </c>
      <c r="B11" s="48">
        <f>'KESZI ktg. mérleg'!G12</f>
        <v>292684</v>
      </c>
      <c r="C11" s="48">
        <f>'KESZI ktg. mérleg'!G13</f>
        <v>77343</v>
      </c>
      <c r="D11" s="48">
        <f>'KESZI ktg. mérleg'!G14</f>
        <v>183031</v>
      </c>
      <c r="E11" s="48">
        <f>'KESZI ktg. mérleg'!G15</f>
        <v>816</v>
      </c>
      <c r="F11" s="48">
        <v>0</v>
      </c>
      <c r="G11" s="48">
        <f>'KESZI ktg. mérleg'!G16</f>
        <v>344</v>
      </c>
      <c r="H11" s="48">
        <f>SUM(B11:G11)</f>
        <v>554218</v>
      </c>
    </row>
    <row r="12" spans="1:8" ht="30" x14ac:dyDescent="0.25">
      <c r="A12" s="22" t="s">
        <v>69</v>
      </c>
      <c r="B12" s="48">
        <f>'KGYCSSZK ktg. mérleg'!F12</f>
        <v>98922</v>
      </c>
      <c r="C12" s="48">
        <f>'KGYCSSZK ktg. mérleg'!F13</f>
        <v>26604</v>
      </c>
      <c r="D12" s="48">
        <f>'KGYCSSZK ktg. mérleg'!F14</f>
        <v>17929</v>
      </c>
      <c r="E12" s="48">
        <f>'KGYCSSZK ktg. mérleg'!F15</f>
        <v>346</v>
      </c>
      <c r="F12" s="48">
        <v>0</v>
      </c>
      <c r="G12" s="48">
        <f>'KGYCSSZK ktg. mérleg'!F16</f>
        <v>168</v>
      </c>
      <c r="H12" s="48">
        <f>SUM(B12:G12)</f>
        <v>143969</v>
      </c>
    </row>
    <row r="13" spans="1:8" ht="15.75" x14ac:dyDescent="0.25">
      <c r="A13" s="22" t="s">
        <v>8</v>
      </c>
      <c r="B13" s="48">
        <f>'társulás ktg. mérleg'!F12</f>
        <v>190</v>
      </c>
      <c r="C13" s="48">
        <f>'társulás ktg. mérleg'!F13</f>
        <v>88</v>
      </c>
      <c r="D13" s="48">
        <f>'társulás ktg. mérleg'!F14</f>
        <v>10159</v>
      </c>
      <c r="E13" s="48">
        <f>0</f>
        <v>0</v>
      </c>
      <c r="F13" s="48">
        <f>'társulás ktg. mérleg'!F21</f>
        <v>0</v>
      </c>
      <c r="G13" s="48">
        <f>'társulás ktg. mérleg'!F15</f>
        <v>5484</v>
      </c>
      <c r="H13" s="48">
        <f>SUM(B13:G13)</f>
        <v>15921</v>
      </c>
    </row>
    <row r="14" spans="1:8" x14ac:dyDescent="0.25">
      <c r="A14" s="49" t="s">
        <v>84</v>
      </c>
      <c r="B14" s="50">
        <f t="shared" ref="B14:H14" si="0">SUM(B11:B13)</f>
        <v>391796</v>
      </c>
      <c r="C14" s="50">
        <f t="shared" si="0"/>
        <v>104035</v>
      </c>
      <c r="D14" s="50">
        <f t="shared" si="0"/>
        <v>211119</v>
      </c>
      <c r="E14" s="50">
        <f t="shared" si="0"/>
        <v>1162</v>
      </c>
      <c r="F14" s="50">
        <f t="shared" si="0"/>
        <v>0</v>
      </c>
      <c r="G14" s="50">
        <f t="shared" si="0"/>
        <v>5996</v>
      </c>
      <c r="H14" s="50">
        <f t="shared" si="0"/>
        <v>714108</v>
      </c>
    </row>
    <row r="15" spans="1:8" ht="15.75" x14ac:dyDescent="0.25">
      <c r="A15" s="47"/>
      <c r="B15" s="55"/>
      <c r="C15" s="55"/>
      <c r="D15" s="55"/>
      <c r="E15" s="55"/>
      <c r="F15" s="55"/>
      <c r="G15" s="55"/>
      <c r="H15" s="56"/>
    </row>
    <row r="16" spans="1:8" x14ac:dyDescent="0.25">
      <c r="A16" s="2" t="s">
        <v>91</v>
      </c>
    </row>
    <row r="18" spans="1:256" ht="30" x14ac:dyDescent="0.25">
      <c r="A18" s="2" t="s">
        <v>78</v>
      </c>
      <c r="B18" s="124" t="s">
        <v>85</v>
      </c>
      <c r="C18" s="47" t="s">
        <v>60</v>
      </c>
      <c r="D18" s="2" t="s">
        <v>86</v>
      </c>
      <c r="E18" s="47" t="s">
        <v>87</v>
      </c>
      <c r="F18" s="47" t="s">
        <v>88</v>
      </c>
      <c r="G18" s="47" t="s">
        <v>89</v>
      </c>
      <c r="H18" s="124" t="s">
        <v>169</v>
      </c>
      <c r="I18" s="47" t="s">
        <v>72</v>
      </c>
    </row>
    <row r="19" spans="1:256" ht="30" x14ac:dyDescent="0.25">
      <c r="A19" s="51" t="s">
        <v>10</v>
      </c>
      <c r="B19" s="48">
        <f>'KESZI ktg. mérleg'!G23</f>
        <v>208403</v>
      </c>
      <c r="C19" s="52">
        <v>246876</v>
      </c>
      <c r="D19" s="52">
        <f>81389-2630</f>
        <v>78759</v>
      </c>
      <c r="E19" s="48">
        <f>24377+400</f>
        <v>24777</v>
      </c>
      <c r="F19" s="52">
        <v>11997</v>
      </c>
      <c r="G19" s="52">
        <f>8673+2630-8876</f>
        <v>2427</v>
      </c>
      <c r="H19" s="52">
        <f>'KESZI ktg. mérleg'!F31-837</f>
        <v>0</v>
      </c>
      <c r="I19" s="48">
        <f>SUM(B19:G19)</f>
        <v>573239</v>
      </c>
    </row>
    <row r="20" spans="1:256" ht="30" x14ac:dyDescent="0.25">
      <c r="A20" s="51" t="s">
        <v>69</v>
      </c>
      <c r="B20" s="48">
        <f>'KGYCSSZK ktg. mérleg'!F22</f>
        <v>3306</v>
      </c>
      <c r="C20" s="52">
        <v>89301</v>
      </c>
      <c r="D20" s="52">
        <f>33386-1549</f>
        <v>31837</v>
      </c>
      <c r="E20" s="52">
        <v>5268</v>
      </c>
      <c r="F20" s="52">
        <v>0</v>
      </c>
      <c r="G20" s="48">
        <f>21748-3261</f>
        <v>18487</v>
      </c>
      <c r="H20" s="48">
        <f>'KGYCSSZK ktg. mérleg'!E30-415</f>
        <v>0</v>
      </c>
      <c r="I20" s="48">
        <f>SUM(B20:H20)</f>
        <v>148199</v>
      </c>
    </row>
    <row r="21" spans="1:256" ht="15.75" x14ac:dyDescent="0.25">
      <c r="A21" s="22" t="s">
        <v>8</v>
      </c>
      <c r="B21" s="48">
        <f>'társulás ktg. mérleg'!F24</f>
        <v>6828</v>
      </c>
      <c r="C21" s="48">
        <v>0</v>
      </c>
      <c r="D21" s="48">
        <v>0</v>
      </c>
      <c r="E21" s="48">
        <f>34626+74+1827</f>
        <v>36527</v>
      </c>
      <c r="F21" s="48">
        <v>0</v>
      </c>
      <c r="G21" s="48">
        <v>0</v>
      </c>
      <c r="H21" s="48">
        <v>3258</v>
      </c>
      <c r="I21" s="48">
        <f>SUM(B21:H21)</f>
        <v>46613</v>
      </c>
    </row>
    <row r="22" spans="1:256" ht="15.75" x14ac:dyDescent="0.25">
      <c r="A22" s="53" t="s">
        <v>84</v>
      </c>
      <c r="B22" s="54">
        <f t="shared" ref="B22:I22" si="1">SUM(B19:B21)</f>
        <v>218537</v>
      </c>
      <c r="C22" s="54">
        <f t="shared" si="1"/>
        <v>336177</v>
      </c>
      <c r="D22" s="54">
        <f t="shared" si="1"/>
        <v>110596</v>
      </c>
      <c r="E22" s="54">
        <f t="shared" si="1"/>
        <v>66572</v>
      </c>
      <c r="F22" s="54">
        <f t="shared" si="1"/>
        <v>11997</v>
      </c>
      <c r="G22" s="54">
        <f t="shared" si="1"/>
        <v>20914</v>
      </c>
      <c r="H22" s="54"/>
      <c r="I22" s="54">
        <f t="shared" si="1"/>
        <v>768051</v>
      </c>
    </row>
    <row r="23" spans="1:256" s="72" customFormat="1" ht="15.75" x14ac:dyDescent="0.25">
      <c r="A23" s="47"/>
      <c r="B23" s="71"/>
      <c r="C23" s="71"/>
      <c r="D23" s="71"/>
      <c r="E23" s="71"/>
      <c r="F23" s="71"/>
      <c r="G23" s="71"/>
      <c r="H23" s="71"/>
      <c r="I23" s="7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 s="72" customFormat="1" ht="15.75" x14ac:dyDescent="0.25">
      <c r="A24" s="47" t="s">
        <v>128</v>
      </c>
      <c r="B24" s="71"/>
      <c r="C24" s="71"/>
      <c r="D24" s="71"/>
      <c r="E24" s="71" t="s">
        <v>129</v>
      </c>
      <c r="F24" s="71"/>
      <c r="G24" s="71"/>
      <c r="H24" s="71"/>
      <c r="I24" s="7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 s="72" customFormat="1" ht="30" x14ac:dyDescent="0.25">
      <c r="A25" s="2" t="s">
        <v>78</v>
      </c>
      <c r="B25" s="124" t="s">
        <v>29</v>
      </c>
      <c r="C25" s="125" t="s">
        <v>72</v>
      </c>
      <c r="D25" s="71"/>
      <c r="E25" s="2" t="s">
        <v>78</v>
      </c>
      <c r="F25" s="124" t="s">
        <v>169</v>
      </c>
      <c r="G25" s="47" t="s">
        <v>89</v>
      </c>
      <c r="H25" s="47" t="s">
        <v>86</v>
      </c>
      <c r="I25" s="47" t="s">
        <v>72</v>
      </c>
      <c r="J25" s="71"/>
      <c r="K25" s="7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1:256" s="72" customFormat="1" ht="30" x14ac:dyDescent="0.25">
      <c r="A26" s="22" t="s">
        <v>10</v>
      </c>
      <c r="B26" s="48">
        <f>'KESZI ktg. mérleg'!G17</f>
        <v>6164</v>
      </c>
      <c r="C26" s="48">
        <f>B26</f>
        <v>6164</v>
      </c>
      <c r="D26" s="71"/>
      <c r="E26" s="51" t="s">
        <v>10</v>
      </c>
      <c r="F26" s="48">
        <f>'KESZI ktg. mérleg'!G31</f>
        <v>837</v>
      </c>
      <c r="G26" s="48">
        <v>2697</v>
      </c>
      <c r="H26" s="48">
        <f>2838-208</f>
        <v>2630</v>
      </c>
      <c r="I26" s="48">
        <f>SUM(F26:H26)</f>
        <v>6164</v>
      </c>
      <c r="J26" s="71"/>
      <c r="K26" s="7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1:256" s="72" customFormat="1" ht="60" x14ac:dyDescent="0.25">
      <c r="A27" s="22" t="s">
        <v>69</v>
      </c>
      <c r="B27" s="48">
        <f>'KGYCSSZK ktg. mérleg'!F17</f>
        <v>6550</v>
      </c>
      <c r="C27" s="48">
        <f>B27</f>
        <v>6550</v>
      </c>
      <c r="D27" s="71"/>
      <c r="E27" s="51" t="s">
        <v>69</v>
      </c>
      <c r="F27" s="48">
        <f>'KGYCSSZK ktg. mérleg'!F30</f>
        <v>415</v>
      </c>
      <c r="G27" s="48">
        <v>4586</v>
      </c>
      <c r="H27" s="48">
        <f>1936-387</f>
        <v>1549</v>
      </c>
      <c r="I27" s="48">
        <f>SUM(F27:H27)</f>
        <v>6550</v>
      </c>
      <c r="J27" s="71"/>
      <c r="K27" s="7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1:256" s="72" customFormat="1" ht="30" x14ac:dyDescent="0.25">
      <c r="A28" s="22" t="s">
        <v>8</v>
      </c>
      <c r="B28" s="48">
        <f>'társulás ktg. mérleg'!F16</f>
        <v>1827</v>
      </c>
      <c r="C28" s="48">
        <f>B28</f>
        <v>1827</v>
      </c>
      <c r="D28" s="71"/>
      <c r="E28" s="22" t="s">
        <v>8</v>
      </c>
      <c r="F28" s="48">
        <f>'társulás ktg. mérleg'!F33</f>
        <v>3258</v>
      </c>
      <c r="G28" s="48">
        <v>0</v>
      </c>
      <c r="H28" s="48">
        <v>0</v>
      </c>
      <c r="I28" s="48">
        <f>SUM(F28:H28)</f>
        <v>3258</v>
      </c>
      <c r="J28" s="71"/>
      <c r="K28" s="7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1:256" s="72" customFormat="1" ht="15.75" x14ac:dyDescent="0.25">
      <c r="A29" s="49" t="s">
        <v>84</v>
      </c>
      <c r="B29" s="50">
        <f>SUM(B26:B28)</f>
        <v>14541</v>
      </c>
      <c r="C29" s="50">
        <f>SUM(C26:C28)</f>
        <v>14541</v>
      </c>
      <c r="D29" s="71"/>
      <c r="E29" s="53" t="s">
        <v>84</v>
      </c>
      <c r="F29" s="54">
        <f>SUM(F26:F28)</f>
        <v>4510</v>
      </c>
      <c r="G29" s="54">
        <f>SUM(G26:G28)</f>
        <v>7283</v>
      </c>
      <c r="H29" s="54">
        <f>SUM(H26:H28)</f>
        <v>4179</v>
      </c>
      <c r="I29" s="54">
        <f>SUM(I26:I28)</f>
        <v>15972</v>
      </c>
      <c r="J29" s="71"/>
      <c r="K29" s="7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1:256" s="72" customFormat="1" ht="15.75" x14ac:dyDescent="0.25">
      <c r="A30" s="47"/>
      <c r="B30" s="71"/>
      <c r="C30" s="71"/>
      <c r="D30" s="71"/>
      <c r="E30" s="71"/>
      <c r="F30" s="71"/>
      <c r="G30" s="71"/>
      <c r="H30" s="71"/>
      <c r="I30" s="7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4" spans="1:1" x14ac:dyDescent="0.25">
      <c r="A34" s="165" t="s">
        <v>226</v>
      </c>
    </row>
  </sheetData>
  <mergeCells count="6">
    <mergeCell ref="A7:H7"/>
    <mergeCell ref="B1:C1"/>
    <mergeCell ref="A2:H2"/>
    <mergeCell ref="A3:H3"/>
    <mergeCell ref="A5:H5"/>
    <mergeCell ref="A6:H6"/>
  </mergeCells>
  <phoneticPr fontId="23" type="noConversion"/>
  <pageMargins left="0.89015748031496089" right="0.32007874015748011" top="0.74370078740157508" bottom="1.1417322834645671" header="0.35000000000000003" footer="0.74803149606299213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0" workbookViewId="0">
      <selection activeCell="A33" sqref="A33"/>
    </sheetView>
  </sheetViews>
  <sheetFormatPr defaultColWidth="8.75" defaultRowHeight="15" x14ac:dyDescent="0.25"/>
  <cols>
    <col min="1" max="1" width="33.5" style="1" customWidth="1"/>
    <col min="2" max="3" width="13" style="1" customWidth="1"/>
    <col min="4" max="4" width="17" style="1" customWidth="1"/>
    <col min="5" max="5" width="14.375" style="1" customWidth="1"/>
    <col min="6" max="6" width="13.875" style="1" customWidth="1"/>
    <col min="7" max="16384" width="8.75" style="1"/>
  </cols>
  <sheetData>
    <row r="1" spans="1:7" ht="15.75" x14ac:dyDescent="0.25">
      <c r="A1" s="57"/>
    </row>
    <row r="2" spans="1:7" ht="15.75" x14ac:dyDescent="0.25">
      <c r="A2" s="58"/>
    </row>
    <row r="3" spans="1:7" ht="15.75" x14ac:dyDescent="0.25">
      <c r="A3" s="202" t="s">
        <v>8</v>
      </c>
      <c r="B3" s="202"/>
      <c r="C3" s="202"/>
      <c r="D3" s="202"/>
    </row>
    <row r="4" spans="1:7" ht="15.75" x14ac:dyDescent="0.25">
      <c r="A4" s="202" t="s">
        <v>96</v>
      </c>
      <c r="B4" s="202"/>
      <c r="C4" s="202"/>
      <c r="D4" s="202"/>
    </row>
    <row r="5" spans="1:7" ht="15.75" x14ac:dyDescent="0.25">
      <c r="A5" s="202" t="s">
        <v>165</v>
      </c>
      <c r="B5" s="202"/>
      <c r="C5" s="202"/>
      <c r="D5" s="202"/>
      <c r="G5"/>
    </row>
    <row r="6" spans="1:7" ht="15.75" x14ac:dyDescent="0.25">
      <c r="A6" s="59"/>
      <c r="G6"/>
    </row>
    <row r="7" spans="1:7" ht="15.75" customHeight="1" x14ac:dyDescent="0.25">
      <c r="A7" s="211" t="s">
        <v>97</v>
      </c>
      <c r="B7" s="211"/>
      <c r="C7" s="211"/>
      <c r="D7" s="211"/>
      <c r="E7" s="211"/>
      <c r="F7" s="211"/>
    </row>
    <row r="8" spans="1:7" x14ac:dyDescent="0.25">
      <c r="A8" s="133"/>
      <c r="B8" s="130"/>
      <c r="C8" s="130"/>
      <c r="D8" s="130"/>
      <c r="E8" s="130"/>
      <c r="F8" s="130"/>
      <c r="G8"/>
    </row>
    <row r="9" spans="1:7" ht="16.5" thickBot="1" x14ac:dyDescent="0.3">
      <c r="A9" s="130"/>
      <c r="B9" s="134" t="s">
        <v>98</v>
      </c>
      <c r="C9" s="145"/>
      <c r="D9" s="145"/>
      <c r="E9" s="145"/>
      <c r="F9" s="131"/>
    </row>
    <row r="10" spans="1:7" ht="33" customHeight="1" thickTop="1" thickBot="1" x14ac:dyDescent="0.3">
      <c r="A10" s="135" t="s">
        <v>6</v>
      </c>
      <c r="B10" s="136" t="s">
        <v>166</v>
      </c>
      <c r="C10" s="129" t="s">
        <v>213</v>
      </c>
      <c r="D10" s="209" t="s">
        <v>223</v>
      </c>
      <c r="E10" s="210"/>
      <c r="F10" s="163" t="s">
        <v>224</v>
      </c>
    </row>
    <row r="11" spans="1:7" ht="32.25" thickTop="1" x14ac:dyDescent="0.25">
      <c r="A11" s="137" t="s">
        <v>99</v>
      </c>
      <c r="B11" s="138" t="s">
        <v>100</v>
      </c>
      <c r="C11" s="147" t="s">
        <v>100</v>
      </c>
      <c r="D11" s="128" t="s">
        <v>213</v>
      </c>
      <c r="E11" s="127" t="s">
        <v>225</v>
      </c>
      <c r="F11" s="148"/>
    </row>
    <row r="12" spans="1:7" ht="16.5" customHeight="1" thickBot="1" x14ac:dyDescent="0.3">
      <c r="A12" s="139"/>
      <c r="B12" s="140" t="s">
        <v>101</v>
      </c>
      <c r="C12" s="140" t="s">
        <v>101</v>
      </c>
      <c r="D12" s="158"/>
      <c r="E12" s="149"/>
      <c r="F12" s="148"/>
    </row>
    <row r="13" spans="1:7" ht="47.25" customHeight="1" thickTop="1" x14ac:dyDescent="0.25">
      <c r="A13" s="141" t="s">
        <v>69</v>
      </c>
      <c r="B13" s="142">
        <v>43</v>
      </c>
      <c r="C13" s="142">
        <v>43</v>
      </c>
      <c r="D13" s="159">
        <v>43</v>
      </c>
      <c r="E13" s="156">
        <v>0</v>
      </c>
      <c r="F13" s="154">
        <v>43</v>
      </c>
    </row>
    <row r="14" spans="1:7" ht="19.5" customHeight="1" x14ac:dyDescent="0.25">
      <c r="A14" s="143" t="s">
        <v>102</v>
      </c>
      <c r="B14" s="144">
        <v>8</v>
      </c>
      <c r="C14" s="144">
        <v>8</v>
      </c>
      <c r="D14" s="160">
        <v>8</v>
      </c>
      <c r="E14" s="155"/>
      <c r="F14" s="164">
        <v>8</v>
      </c>
    </row>
    <row r="15" spans="1:7" ht="21.75" customHeight="1" x14ac:dyDescent="0.25">
      <c r="A15" s="143" t="s">
        <v>103</v>
      </c>
      <c r="B15" s="144">
        <v>16</v>
      </c>
      <c r="C15" s="144">
        <v>16</v>
      </c>
      <c r="D15" s="160">
        <v>16</v>
      </c>
      <c r="E15" s="155"/>
      <c r="F15" s="164">
        <v>16</v>
      </c>
    </row>
    <row r="16" spans="1:7" ht="19.5" customHeight="1" x14ac:dyDescent="0.25">
      <c r="A16" s="143" t="s">
        <v>104</v>
      </c>
      <c r="B16" s="144">
        <v>19</v>
      </c>
      <c r="C16" s="144">
        <v>19</v>
      </c>
      <c r="D16" s="160">
        <v>19</v>
      </c>
      <c r="E16" s="155"/>
      <c r="F16" s="164">
        <v>19</v>
      </c>
    </row>
    <row r="17" spans="1:6" ht="37.5" customHeight="1" x14ac:dyDescent="0.25">
      <c r="A17" s="141" t="s">
        <v>95</v>
      </c>
      <c r="B17" s="142">
        <v>134</v>
      </c>
      <c r="C17" s="142">
        <v>135</v>
      </c>
      <c r="D17" s="159">
        <v>131</v>
      </c>
      <c r="E17" s="156">
        <v>4</v>
      </c>
      <c r="F17" s="154">
        <v>131</v>
      </c>
    </row>
    <row r="18" spans="1:6" ht="33.75" customHeight="1" x14ac:dyDescent="0.25">
      <c r="A18" s="143" t="s">
        <v>105</v>
      </c>
      <c r="B18" s="144">
        <v>42</v>
      </c>
      <c r="C18" s="144">
        <v>43</v>
      </c>
      <c r="D18" s="160">
        <v>42</v>
      </c>
      <c r="E18" s="155">
        <v>4</v>
      </c>
      <c r="F18" s="164">
        <v>42</v>
      </c>
    </row>
    <row r="19" spans="1:6" ht="21" customHeight="1" x14ac:dyDescent="0.25">
      <c r="A19" s="143" t="s">
        <v>106</v>
      </c>
      <c r="B19" s="144">
        <v>28</v>
      </c>
      <c r="C19" s="144">
        <v>28</v>
      </c>
      <c r="D19" s="160">
        <v>28</v>
      </c>
      <c r="E19" s="155"/>
      <c r="F19" s="164">
        <v>28</v>
      </c>
    </row>
    <row r="20" spans="1:6" ht="19.5" customHeight="1" x14ac:dyDescent="0.25">
      <c r="A20" s="143" t="s">
        <v>107</v>
      </c>
      <c r="B20" s="144"/>
      <c r="C20" s="144"/>
      <c r="D20" s="160"/>
      <c r="E20" s="155"/>
      <c r="F20" s="164">
        <v>0</v>
      </c>
    </row>
    <row r="21" spans="1:6" ht="18" customHeight="1" x14ac:dyDescent="0.25">
      <c r="A21" s="143" t="s">
        <v>108</v>
      </c>
      <c r="B21" s="144">
        <v>6</v>
      </c>
      <c r="C21" s="144">
        <v>6</v>
      </c>
      <c r="D21" s="160">
        <v>6</v>
      </c>
      <c r="E21" s="155"/>
      <c r="F21" s="164">
        <v>6</v>
      </c>
    </row>
    <row r="22" spans="1:6" ht="18" customHeight="1" x14ac:dyDescent="0.25">
      <c r="A22" s="143" t="s">
        <v>109</v>
      </c>
      <c r="B22" s="144">
        <v>16</v>
      </c>
      <c r="C22" s="144">
        <v>16</v>
      </c>
      <c r="D22" s="160">
        <v>16</v>
      </c>
      <c r="E22" s="155"/>
      <c r="F22" s="164">
        <v>16</v>
      </c>
    </row>
    <row r="23" spans="1:6" ht="16.5" customHeight="1" x14ac:dyDescent="0.25">
      <c r="A23" s="143" t="s">
        <v>110</v>
      </c>
      <c r="B23" s="144">
        <v>7</v>
      </c>
      <c r="C23" s="144">
        <v>7</v>
      </c>
      <c r="D23" s="160">
        <v>6</v>
      </c>
      <c r="E23" s="155"/>
      <c r="F23" s="164">
        <v>6</v>
      </c>
    </row>
    <row r="24" spans="1:6" ht="18.75" customHeight="1" x14ac:dyDescent="0.25">
      <c r="A24" s="143" t="s">
        <v>111</v>
      </c>
      <c r="B24" s="144">
        <v>2</v>
      </c>
      <c r="C24" s="144">
        <v>2</v>
      </c>
      <c r="D24" s="160">
        <v>2</v>
      </c>
      <c r="E24" s="155"/>
      <c r="F24" s="164">
        <v>2</v>
      </c>
    </row>
    <row r="25" spans="1:6" ht="18" customHeight="1" x14ac:dyDescent="0.25">
      <c r="A25" s="143" t="s">
        <v>112</v>
      </c>
      <c r="B25" s="144">
        <v>4</v>
      </c>
      <c r="C25" s="144">
        <v>4</v>
      </c>
      <c r="D25" s="160">
        <v>2</v>
      </c>
      <c r="E25" s="155"/>
      <c r="F25" s="164">
        <v>2</v>
      </c>
    </row>
    <row r="26" spans="1:6" ht="18.75" customHeight="1" x14ac:dyDescent="0.25">
      <c r="A26" s="143" t="s">
        <v>113</v>
      </c>
      <c r="B26" s="144">
        <v>24</v>
      </c>
      <c r="C26" s="144">
        <v>24</v>
      </c>
      <c r="D26" s="160">
        <v>24</v>
      </c>
      <c r="E26" s="155"/>
      <c r="F26" s="164">
        <v>24</v>
      </c>
    </row>
    <row r="27" spans="1:6" ht="18" customHeight="1" x14ac:dyDescent="0.25">
      <c r="A27" s="143" t="s">
        <v>114</v>
      </c>
      <c r="B27" s="146">
        <v>1</v>
      </c>
      <c r="C27" s="146">
        <v>1</v>
      </c>
      <c r="D27" s="157">
        <v>1</v>
      </c>
      <c r="E27" s="155"/>
      <c r="F27" s="164">
        <v>1</v>
      </c>
    </row>
    <row r="28" spans="1:6" ht="17.25" customHeight="1" x14ac:dyDescent="0.25">
      <c r="A28" s="150" t="s">
        <v>115</v>
      </c>
      <c r="B28" s="155">
        <v>4</v>
      </c>
      <c r="C28" s="155">
        <v>4</v>
      </c>
      <c r="D28" s="161">
        <v>4</v>
      </c>
      <c r="E28" s="155"/>
      <c r="F28" s="152">
        <v>4</v>
      </c>
    </row>
    <row r="29" spans="1:6" ht="17.25" customHeight="1" x14ac:dyDescent="0.25">
      <c r="A29" s="151" t="s">
        <v>8</v>
      </c>
      <c r="B29" s="156">
        <v>0</v>
      </c>
      <c r="C29" s="156">
        <v>0</v>
      </c>
      <c r="D29" s="162">
        <v>0</v>
      </c>
      <c r="E29" s="156">
        <v>0</v>
      </c>
      <c r="F29" s="153">
        <v>0</v>
      </c>
    </row>
    <row r="30" spans="1:6" ht="17.25" customHeight="1" x14ac:dyDescent="0.25">
      <c r="A30" s="132" t="s">
        <v>93</v>
      </c>
      <c r="B30" s="155">
        <v>0</v>
      </c>
      <c r="C30" s="155">
        <v>0</v>
      </c>
      <c r="D30" s="161"/>
      <c r="E30" s="155"/>
      <c r="F30" s="152">
        <v>0</v>
      </c>
    </row>
    <row r="31" spans="1:6" ht="21.75" customHeight="1" x14ac:dyDescent="0.25">
      <c r="A31" s="151" t="s">
        <v>94</v>
      </c>
      <c r="B31" s="156">
        <v>177</v>
      </c>
      <c r="C31" s="156">
        <v>178</v>
      </c>
      <c r="D31" s="162">
        <v>174</v>
      </c>
      <c r="E31" s="156">
        <v>4</v>
      </c>
      <c r="F31" s="154">
        <v>174</v>
      </c>
    </row>
    <row r="33" spans="1:1" x14ac:dyDescent="0.25">
      <c r="A33" s="165" t="s">
        <v>226</v>
      </c>
    </row>
  </sheetData>
  <mergeCells count="5">
    <mergeCell ref="D10:E10"/>
    <mergeCell ref="A3:D3"/>
    <mergeCell ref="A4:D4"/>
    <mergeCell ref="A5:D5"/>
    <mergeCell ref="A7:F7"/>
  </mergeCells>
  <phoneticPr fontId="23" type="noConversion"/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42"/>
  <sheetViews>
    <sheetView topLeftCell="A37" workbookViewId="0">
      <selection activeCell="E54" sqref="E54"/>
    </sheetView>
  </sheetViews>
  <sheetFormatPr defaultColWidth="8.75" defaultRowHeight="15" x14ac:dyDescent="0.25"/>
  <cols>
    <col min="1" max="1" width="13.125" style="1" customWidth="1"/>
    <col min="2" max="2" width="33.625" style="1" customWidth="1"/>
    <col min="3" max="3" width="16.875" style="1" customWidth="1"/>
    <col min="4" max="4" width="13.875" style="1" customWidth="1"/>
    <col min="5" max="6" width="17.625" style="1" customWidth="1"/>
    <col min="7" max="7" width="13.5" style="1" bestFit="1" customWidth="1"/>
    <col min="8" max="8" width="13.5" style="1" customWidth="1"/>
    <col min="9" max="9" width="13.875" style="1" customWidth="1"/>
    <col min="10" max="10" width="18.125" style="1" customWidth="1"/>
    <col min="11" max="11" width="19.25" style="1" customWidth="1"/>
    <col min="12" max="12" width="8.75" style="1"/>
    <col min="13" max="13" width="13.75" style="1" bestFit="1" customWidth="1"/>
    <col min="14" max="17" width="8.75" style="1"/>
    <col min="18" max="18" width="15.875" style="1" customWidth="1"/>
    <col min="19" max="16384" width="8.75" style="1"/>
  </cols>
  <sheetData>
    <row r="1" spans="1:257" ht="15.75" x14ac:dyDescent="0.25">
      <c r="A1" s="74"/>
      <c r="B1" s="212" t="s">
        <v>182</v>
      </c>
      <c r="C1" s="212"/>
      <c r="D1" s="212"/>
      <c r="E1" s="212"/>
      <c r="F1" s="95"/>
    </row>
    <row r="2" spans="1:257" ht="15.75" x14ac:dyDescent="0.25">
      <c r="A2" s="215" t="s">
        <v>8</v>
      </c>
      <c r="B2" s="215"/>
      <c r="C2" s="215"/>
      <c r="D2" s="215"/>
      <c r="E2" s="215"/>
      <c r="F2" s="75"/>
    </row>
    <row r="3" spans="1:257" ht="15.75" x14ac:dyDescent="0.25">
      <c r="A3" s="75"/>
      <c r="B3" s="75"/>
      <c r="C3" s="75"/>
      <c r="D3" s="74"/>
      <c r="E3" s="74"/>
      <c r="F3" s="74"/>
    </row>
    <row r="4" spans="1:257" ht="15.75" x14ac:dyDescent="0.25">
      <c r="A4" s="215" t="s">
        <v>116</v>
      </c>
      <c r="B4" s="215"/>
      <c r="C4" s="215"/>
      <c r="D4" s="215"/>
      <c r="E4" s="215"/>
      <c r="F4" s="75"/>
    </row>
    <row r="5" spans="1:257" ht="15.75" x14ac:dyDescent="0.25">
      <c r="A5" s="74"/>
      <c r="B5" s="74"/>
      <c r="C5" s="74"/>
      <c r="D5" s="74"/>
      <c r="E5" s="74"/>
      <c r="F5" s="74"/>
    </row>
    <row r="6" spans="1:257" ht="15.75" x14ac:dyDescent="0.25">
      <c r="A6" s="213" t="s">
        <v>10</v>
      </c>
      <c r="B6" s="213"/>
      <c r="C6" s="213"/>
      <c r="D6" s="74"/>
      <c r="E6" s="74"/>
      <c r="F6" s="74"/>
    </row>
    <row r="7" spans="1:257" ht="15.75" x14ac:dyDescent="0.25">
      <c r="A7" s="58" t="s">
        <v>183</v>
      </c>
      <c r="B7" s="74"/>
      <c r="C7" s="74"/>
      <c r="D7" s="74"/>
      <c r="E7" s="74"/>
      <c r="F7" s="74"/>
    </row>
    <row r="8" spans="1:257" s="40" customFormat="1" ht="75" x14ac:dyDescent="0.25">
      <c r="A8" s="76" t="s">
        <v>92</v>
      </c>
      <c r="B8" s="77" t="s">
        <v>163</v>
      </c>
      <c r="C8" s="78" t="s">
        <v>149</v>
      </c>
      <c r="D8" s="58" t="s">
        <v>148</v>
      </c>
      <c r="E8" s="58" t="s">
        <v>147</v>
      </c>
      <c r="F8" s="102" t="s">
        <v>201</v>
      </c>
      <c r="G8" s="102" t="s">
        <v>202</v>
      </c>
      <c r="H8" s="102" t="s">
        <v>214</v>
      </c>
      <c r="I8" s="2" t="s">
        <v>216</v>
      </c>
      <c r="J8" s="47" t="s">
        <v>228</v>
      </c>
      <c r="K8" s="47" t="s">
        <v>229</v>
      </c>
      <c r="L8" s="2"/>
      <c r="M8" s="168"/>
      <c r="N8" s="169"/>
      <c r="O8" s="169"/>
      <c r="P8" s="169"/>
      <c r="Q8" s="169"/>
      <c r="R8" s="170"/>
      <c r="S8" s="169"/>
      <c r="T8" s="169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</row>
    <row r="9" spans="1:257" customFormat="1" ht="15.75" x14ac:dyDescent="0.25">
      <c r="A9" s="79" t="s">
        <v>130</v>
      </c>
      <c r="B9" s="80" t="s">
        <v>57</v>
      </c>
      <c r="C9" s="81">
        <v>60896</v>
      </c>
      <c r="D9" s="80">
        <v>426</v>
      </c>
      <c r="E9" s="100">
        <f>SUM(D9*C9)</f>
        <v>25941696</v>
      </c>
      <c r="F9" s="110">
        <v>25941696</v>
      </c>
      <c r="G9" s="110">
        <f>'KESZI ktg. mérleg'!E38</f>
        <v>25698112</v>
      </c>
      <c r="H9" s="110">
        <f>'KESZI ktg. mérleg'!F38</f>
        <v>25515424</v>
      </c>
      <c r="I9" s="123">
        <f>'KESZI ktg. mérleg'!G38</f>
        <v>25515424</v>
      </c>
      <c r="J9" s="64">
        <v>25515424</v>
      </c>
      <c r="K9" s="64">
        <f>J9-I9</f>
        <v>0</v>
      </c>
      <c r="L9" s="1"/>
      <c r="M9" s="168"/>
      <c r="N9" s="118"/>
      <c r="O9" s="118"/>
      <c r="P9" s="118"/>
      <c r="Q9" s="118"/>
      <c r="R9" s="170"/>
      <c r="S9" s="118"/>
      <c r="T9" s="118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</row>
    <row r="10" spans="1:257" customFormat="1" ht="15.75" x14ac:dyDescent="0.25">
      <c r="A10" s="79" t="s">
        <v>131</v>
      </c>
      <c r="B10" s="80" t="s">
        <v>58</v>
      </c>
      <c r="C10" s="81">
        <v>188500</v>
      </c>
      <c r="D10" s="82">
        <v>192</v>
      </c>
      <c r="E10" s="100">
        <f t="shared" ref="E10:E16" si="0">SUM(D10*C10)</f>
        <v>36192000</v>
      </c>
      <c r="F10" s="110">
        <v>36192000</v>
      </c>
      <c r="G10" s="110">
        <f>'KESZI ktg. mérleg'!E39</f>
        <v>35815000</v>
      </c>
      <c r="H10" s="110">
        <f>'KESZI ktg. mérleg'!F39</f>
        <v>35626500</v>
      </c>
      <c r="I10" s="123">
        <f>'KESZI ktg. mérleg'!G39</f>
        <v>35626500</v>
      </c>
      <c r="J10" s="64">
        <v>36380500</v>
      </c>
      <c r="K10" s="64">
        <f t="shared" ref="K10:K18" si="1">J10-I10</f>
        <v>754000</v>
      </c>
      <c r="L10" s="1"/>
      <c r="M10" s="168"/>
      <c r="N10" s="118"/>
      <c r="O10" s="118"/>
      <c r="P10" s="118"/>
      <c r="Q10" s="118"/>
      <c r="R10" s="170"/>
      <c r="S10" s="118"/>
      <c r="T10" s="118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</row>
    <row r="11" spans="1:257" customFormat="1" ht="15.75" x14ac:dyDescent="0.25">
      <c r="A11" s="79" t="s">
        <v>132</v>
      </c>
      <c r="B11" s="80" t="s">
        <v>133</v>
      </c>
      <c r="C11" s="81">
        <v>163500</v>
      </c>
      <c r="D11" s="80">
        <v>38</v>
      </c>
      <c r="E11" s="100">
        <f t="shared" si="0"/>
        <v>6213000</v>
      </c>
      <c r="F11" s="110">
        <v>6213000</v>
      </c>
      <c r="G11" s="110">
        <f>'KESZI ktg. mérleg'!E40</f>
        <v>6213000</v>
      </c>
      <c r="H11" s="110">
        <f>'KESZI ktg. mérleg'!F40</f>
        <v>6540000</v>
      </c>
      <c r="I11" s="123">
        <f>'KESZI ktg. mérleg'!G40</f>
        <v>6540000</v>
      </c>
      <c r="J11" s="64">
        <v>6376500</v>
      </c>
      <c r="K11" s="64">
        <f t="shared" si="1"/>
        <v>-163500</v>
      </c>
      <c r="L11" s="1"/>
      <c r="M11" s="171"/>
      <c r="N11" s="118"/>
      <c r="O11" s="118"/>
      <c r="P11" s="118"/>
      <c r="Q11" s="118"/>
      <c r="R11" s="170"/>
      <c r="S11" s="118"/>
      <c r="T11" s="118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</row>
    <row r="12" spans="1:257" customFormat="1" ht="15.75" x14ac:dyDescent="0.25">
      <c r="A12" s="79" t="s">
        <v>134</v>
      </c>
      <c r="B12" s="80" t="s">
        <v>135</v>
      </c>
      <c r="C12" s="81">
        <v>550000</v>
      </c>
      <c r="D12" s="82">
        <v>11</v>
      </c>
      <c r="E12" s="100">
        <f t="shared" si="0"/>
        <v>6050000</v>
      </c>
      <c r="F12" s="110">
        <v>6050000</v>
      </c>
      <c r="G12" s="110">
        <v>6050000</v>
      </c>
      <c r="H12" s="110">
        <v>6050000</v>
      </c>
      <c r="I12" s="123">
        <v>6050000</v>
      </c>
      <c r="J12" s="64">
        <v>6050000</v>
      </c>
      <c r="K12" s="64">
        <f t="shared" si="1"/>
        <v>0</v>
      </c>
      <c r="L12" s="1"/>
      <c r="M12" s="168"/>
      <c r="N12" s="118"/>
      <c r="O12" s="118"/>
      <c r="P12" s="118"/>
      <c r="Q12" s="118"/>
      <c r="R12" s="170"/>
      <c r="S12" s="118"/>
      <c r="T12" s="118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</row>
    <row r="13" spans="1:257" customFormat="1" ht="15.75" x14ac:dyDescent="0.25">
      <c r="A13" s="79" t="s">
        <v>134</v>
      </c>
      <c r="B13" s="80" t="s">
        <v>136</v>
      </c>
      <c r="C13" s="81">
        <v>220000</v>
      </c>
      <c r="D13" s="80">
        <v>16</v>
      </c>
      <c r="E13" s="100">
        <f t="shared" si="0"/>
        <v>3520000</v>
      </c>
      <c r="F13" s="110">
        <v>3520000</v>
      </c>
      <c r="G13" s="110">
        <v>3520000</v>
      </c>
      <c r="H13" s="110">
        <v>3520000</v>
      </c>
      <c r="I13" s="123">
        <v>3520000</v>
      </c>
      <c r="J13" s="64">
        <v>3740000</v>
      </c>
      <c r="K13" s="64">
        <f t="shared" si="1"/>
        <v>220000</v>
      </c>
      <c r="L13" s="1"/>
      <c r="M13" s="168"/>
      <c r="N13" s="118"/>
      <c r="O13" s="118"/>
      <c r="P13" s="118"/>
      <c r="Q13" s="118"/>
      <c r="R13" s="170"/>
      <c r="S13" s="118"/>
      <c r="T13" s="118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</row>
    <row r="14" spans="1:257" customFormat="1" ht="15.75" x14ac:dyDescent="0.25">
      <c r="A14" s="79" t="s">
        <v>137</v>
      </c>
      <c r="B14" s="80" t="s">
        <v>138</v>
      </c>
      <c r="C14" s="82">
        <v>550000</v>
      </c>
      <c r="D14" s="80">
        <v>28</v>
      </c>
      <c r="E14" s="100">
        <f t="shared" si="0"/>
        <v>15400000</v>
      </c>
      <c r="F14" s="110">
        <v>15400000</v>
      </c>
      <c r="G14" s="110">
        <f>15400000-2090000</f>
        <v>13310000</v>
      </c>
      <c r="H14" s="110">
        <v>14300000</v>
      </c>
      <c r="I14" s="123">
        <v>14300000</v>
      </c>
      <c r="J14" s="64">
        <v>13750000</v>
      </c>
      <c r="K14" s="64">
        <f t="shared" si="1"/>
        <v>-550000</v>
      </c>
      <c r="L14" s="1"/>
      <c r="M14" s="168"/>
      <c r="N14" s="118"/>
      <c r="O14" s="118"/>
      <c r="P14" s="118"/>
      <c r="Q14" s="118"/>
      <c r="R14" s="170"/>
      <c r="S14" s="118"/>
      <c r="T14" s="118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pans="1:257" customFormat="1" ht="15.75" x14ac:dyDescent="0.25">
      <c r="A15" s="83" t="s">
        <v>139</v>
      </c>
      <c r="B15" s="84" t="s">
        <v>140</v>
      </c>
      <c r="C15" s="85">
        <v>247320</v>
      </c>
      <c r="D15" s="84">
        <v>36</v>
      </c>
      <c r="E15" s="100">
        <f t="shared" si="0"/>
        <v>8903520</v>
      </c>
      <c r="F15" s="110">
        <v>8903520</v>
      </c>
      <c r="G15" s="110">
        <v>8903520</v>
      </c>
      <c r="H15" s="110">
        <f>'KESZI ktg. mérleg'!F42</f>
        <v>8903520</v>
      </c>
      <c r="I15" s="123">
        <v>8903520</v>
      </c>
      <c r="J15" s="64">
        <v>8903520</v>
      </c>
      <c r="K15" s="64">
        <f t="shared" si="1"/>
        <v>0</v>
      </c>
      <c r="L15" s="1"/>
      <c r="M15" s="171"/>
      <c r="N15" s="118"/>
      <c r="O15" s="118"/>
      <c r="P15" s="118"/>
      <c r="Q15" s="118"/>
      <c r="R15" s="170"/>
      <c r="S15" s="118"/>
      <c r="T15" s="118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</row>
    <row r="16" spans="1:257" customFormat="1" ht="15.75" x14ac:dyDescent="0.25">
      <c r="A16" s="83" t="s">
        <v>141</v>
      </c>
      <c r="B16" s="84" t="s">
        <v>142</v>
      </c>
      <c r="C16" s="85">
        <v>515185</v>
      </c>
      <c r="D16" s="84">
        <v>40</v>
      </c>
      <c r="E16" s="100">
        <f t="shared" si="0"/>
        <v>20607400</v>
      </c>
      <c r="F16" s="110">
        <v>20607400</v>
      </c>
      <c r="G16" s="110">
        <f>20607400+515185</f>
        <v>21122585</v>
      </c>
      <c r="H16" s="110">
        <f>'KESZI ktg. mérleg'!F43</f>
        <v>21122585</v>
      </c>
      <c r="I16" s="123">
        <v>21122585</v>
      </c>
      <c r="J16" s="64">
        <v>20607400</v>
      </c>
      <c r="K16" s="64">
        <f t="shared" si="1"/>
        <v>-515185</v>
      </c>
      <c r="L16" s="1"/>
      <c r="M16" s="118"/>
      <c r="N16" s="118"/>
      <c r="O16" s="118"/>
      <c r="P16" s="118"/>
      <c r="Q16" s="118"/>
      <c r="R16" s="116"/>
      <c r="S16" s="118"/>
      <c r="T16" s="118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pans="1:257" customFormat="1" ht="15.75" x14ac:dyDescent="0.25">
      <c r="A17" s="83" t="s">
        <v>143</v>
      </c>
      <c r="B17" s="84" t="s">
        <v>144</v>
      </c>
      <c r="C17" s="85">
        <v>2606040</v>
      </c>
      <c r="D17" s="84">
        <v>32</v>
      </c>
      <c r="E17" s="101">
        <v>83393280</v>
      </c>
      <c r="F17" s="110">
        <v>83393280</v>
      </c>
      <c r="G17" s="110">
        <v>83393280</v>
      </c>
      <c r="H17" s="110">
        <f>'KESZI ktg. mérleg'!F44</f>
        <v>76214915</v>
      </c>
      <c r="I17" s="126">
        <f>83393280-7178365</f>
        <v>76214915</v>
      </c>
      <c r="J17" s="64">
        <f>83393280-2906040</f>
        <v>80487240</v>
      </c>
      <c r="K17" s="64">
        <f t="shared" si="1"/>
        <v>4272325</v>
      </c>
      <c r="L17" s="1"/>
      <c r="M17" s="118"/>
      <c r="N17" s="118"/>
      <c r="O17" s="118"/>
      <c r="P17" s="118"/>
      <c r="Q17" s="118"/>
      <c r="R17" s="116"/>
      <c r="S17" s="118"/>
      <c r="T17" s="118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</row>
    <row r="18" spans="1:257" customFormat="1" ht="15.75" x14ac:dyDescent="0.25">
      <c r="A18" s="80" t="s">
        <v>145</v>
      </c>
      <c r="B18" s="80" t="s">
        <v>146</v>
      </c>
      <c r="C18" s="82"/>
      <c r="D18" s="80"/>
      <c r="E18" s="100">
        <v>25725104</v>
      </c>
      <c r="F18" s="110">
        <v>25725104</v>
      </c>
      <c r="G18" s="110">
        <f>25725104+8701000</f>
        <v>34426104</v>
      </c>
      <c r="H18" s="110">
        <f>'KESZI ktg. mérleg'!F45</f>
        <v>41904365</v>
      </c>
      <c r="I18" s="126">
        <v>41904365</v>
      </c>
      <c r="J18" s="64">
        <f>SUM(41904365-7178365)</f>
        <v>34726000</v>
      </c>
      <c r="K18" s="64">
        <f t="shared" si="1"/>
        <v>-7178365</v>
      </c>
      <c r="L18" s="1"/>
      <c r="M18" s="118"/>
      <c r="N18" s="118"/>
      <c r="O18" s="118"/>
      <c r="P18" s="118"/>
      <c r="Q18" s="118"/>
      <c r="R18" s="116"/>
      <c r="S18" s="118"/>
      <c r="T18" s="118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</row>
    <row r="19" spans="1:257" customFormat="1" ht="15.75" x14ac:dyDescent="0.25">
      <c r="A19" s="80"/>
      <c r="B19" s="80" t="s">
        <v>173</v>
      </c>
      <c r="C19" s="82"/>
      <c r="D19" s="80"/>
      <c r="E19" s="82"/>
      <c r="F19" s="82">
        <v>5572953</v>
      </c>
      <c r="G19" s="82">
        <v>7021388</v>
      </c>
      <c r="H19" s="82">
        <f>'KESZI ktg. mérleg'!F49</f>
        <v>8795258</v>
      </c>
      <c r="I19" s="123">
        <v>8795258</v>
      </c>
      <c r="J19" s="96"/>
      <c r="K19" s="1"/>
      <c r="L19" s="1"/>
      <c r="M19" s="118"/>
      <c r="N19" s="118"/>
      <c r="O19" s="118"/>
      <c r="P19" s="118"/>
      <c r="Q19" s="118"/>
      <c r="R19" s="116"/>
      <c r="S19" s="118"/>
      <c r="T19" s="118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</row>
    <row r="20" spans="1:257" customFormat="1" ht="15.75" x14ac:dyDescent="0.25">
      <c r="A20" s="80"/>
      <c r="B20" s="80" t="s">
        <v>184</v>
      </c>
      <c r="C20" s="82"/>
      <c r="D20" s="80"/>
      <c r="E20" s="82"/>
      <c r="F20" s="82">
        <v>8130034</v>
      </c>
      <c r="G20" s="82">
        <v>9588225</v>
      </c>
      <c r="H20" s="82">
        <f>'KESZI ktg. mérleg'!F52+4376342</f>
        <v>21142932</v>
      </c>
      <c r="I20" s="123">
        <v>9588225</v>
      </c>
      <c r="J20" s="96"/>
      <c r="K20" s="1"/>
      <c r="L20" s="1"/>
      <c r="M20" s="118"/>
      <c r="N20" s="118"/>
      <c r="O20" s="118"/>
      <c r="P20" s="118"/>
      <c r="Q20" s="118"/>
      <c r="R20" s="116"/>
      <c r="S20" s="118"/>
      <c r="T20" s="118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</row>
    <row r="21" spans="1:257" customFormat="1" ht="15.75" x14ac:dyDescent="0.25">
      <c r="A21" s="76"/>
      <c r="B21" s="77" t="s">
        <v>72</v>
      </c>
      <c r="C21" s="78"/>
      <c r="D21" s="74"/>
      <c r="E21" s="89">
        <f>SUM(E9:E18)</f>
        <v>231946000</v>
      </c>
      <c r="F21" s="89">
        <f t="shared" ref="F21:K21" si="2">SUM(F9:F20)</f>
        <v>245648987</v>
      </c>
      <c r="G21" s="89">
        <f t="shared" si="2"/>
        <v>255061214</v>
      </c>
      <c r="H21" s="89">
        <f t="shared" si="2"/>
        <v>269635499</v>
      </c>
      <c r="I21" s="89">
        <f t="shared" si="2"/>
        <v>258080792</v>
      </c>
      <c r="J21" s="174">
        <f t="shared" si="2"/>
        <v>236536584</v>
      </c>
      <c r="K21" s="174">
        <f t="shared" si="2"/>
        <v>-3160725</v>
      </c>
      <c r="L21" s="1"/>
      <c r="M21" s="174"/>
      <c r="N21" s="118"/>
      <c r="O21" s="118"/>
      <c r="P21" s="118"/>
      <c r="Q21" s="118"/>
      <c r="R21" s="116"/>
      <c r="S21" s="118"/>
      <c r="T21" s="118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</row>
    <row r="22" spans="1:257" x14ac:dyDescent="0.25">
      <c r="A22"/>
      <c r="B22" s="60"/>
      <c r="C22" s="61"/>
      <c r="M22" s="118"/>
      <c r="N22" s="118"/>
      <c r="O22" s="118"/>
      <c r="P22" s="118"/>
      <c r="Q22" s="118"/>
      <c r="R22" s="116"/>
      <c r="S22" s="118"/>
      <c r="T22" s="118"/>
    </row>
    <row r="23" spans="1:257" ht="15.75" x14ac:dyDescent="0.25">
      <c r="A23" s="214" t="s">
        <v>69</v>
      </c>
      <c r="B23" s="214"/>
      <c r="C23" s="214"/>
      <c r="D23" s="74"/>
      <c r="E23" s="74"/>
      <c r="F23" s="74"/>
      <c r="M23" s="118"/>
      <c r="N23" s="118"/>
      <c r="O23" s="118"/>
      <c r="P23" s="118"/>
      <c r="Q23" s="118"/>
      <c r="R23" s="116"/>
      <c r="S23" s="118"/>
      <c r="T23" s="118"/>
    </row>
    <row r="24" spans="1:257" customFormat="1" ht="75" x14ac:dyDescent="0.25">
      <c r="A24" s="76" t="s">
        <v>92</v>
      </c>
      <c r="B24" s="77" t="s">
        <v>163</v>
      </c>
      <c r="C24" s="78" t="s">
        <v>149</v>
      </c>
      <c r="D24" s="58" t="s">
        <v>148</v>
      </c>
      <c r="E24" s="58" t="s">
        <v>147</v>
      </c>
      <c r="F24" s="102" t="s">
        <v>201</v>
      </c>
      <c r="G24" s="102" t="s">
        <v>202</v>
      </c>
      <c r="H24" s="102" t="s">
        <v>214</v>
      </c>
      <c r="I24" s="2" t="s">
        <v>216</v>
      </c>
      <c r="J24" s="47" t="s">
        <v>228</v>
      </c>
      <c r="K24" s="47" t="s">
        <v>229</v>
      </c>
      <c r="L24" s="1"/>
      <c r="M24" s="118"/>
      <c r="N24" s="172"/>
      <c r="O24" s="118"/>
      <c r="P24" s="118"/>
      <c r="Q24" s="118"/>
      <c r="R24" s="116"/>
      <c r="S24" s="118"/>
      <c r="T24" s="118"/>
      <c r="U24" s="118"/>
      <c r="V24" s="118"/>
      <c r="W24" s="118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</row>
    <row r="25" spans="1:257" customFormat="1" ht="15.75" x14ac:dyDescent="0.25">
      <c r="A25" s="79" t="s">
        <v>150</v>
      </c>
      <c r="B25" s="80" t="s">
        <v>151</v>
      </c>
      <c r="C25" s="86" t="s">
        <v>152</v>
      </c>
      <c r="D25" s="80">
        <v>10.403600000000001</v>
      </c>
      <c r="E25" s="82">
        <v>20547110</v>
      </c>
      <c r="F25" s="82">
        <v>20547110</v>
      </c>
      <c r="G25" s="82">
        <v>20547110</v>
      </c>
      <c r="H25" s="82">
        <v>20547110</v>
      </c>
      <c r="I25" s="123">
        <v>20547110</v>
      </c>
      <c r="J25" s="64">
        <v>20547110</v>
      </c>
      <c r="K25" s="64">
        <f t="shared" ref="K25:K28" si="3">J25-I25</f>
        <v>0</v>
      </c>
      <c r="L25" s="1"/>
      <c r="M25" s="1"/>
      <c r="N25" s="118"/>
      <c r="O25" s="118"/>
      <c r="P25" s="118"/>
      <c r="Q25" s="118"/>
      <c r="R25" s="116"/>
      <c r="S25" s="118"/>
      <c r="T25" s="118"/>
      <c r="U25" s="118"/>
      <c r="V25" s="118"/>
      <c r="W25" s="118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</row>
    <row r="26" spans="1:257" customFormat="1" ht="15.75" x14ac:dyDescent="0.25">
      <c r="A26" s="79" t="s">
        <v>153</v>
      </c>
      <c r="B26" s="80" t="s">
        <v>154</v>
      </c>
      <c r="C26" s="86" t="s">
        <v>155</v>
      </c>
      <c r="D26" s="82">
        <v>72825</v>
      </c>
      <c r="E26" s="82">
        <v>21847500</v>
      </c>
      <c r="F26" s="82">
        <v>21847500</v>
      </c>
      <c r="G26" s="82">
        <v>21847500</v>
      </c>
      <c r="H26" s="82">
        <v>21847500</v>
      </c>
      <c r="I26" s="123">
        <v>21847500</v>
      </c>
      <c r="J26" s="64">
        <v>21847500</v>
      </c>
      <c r="K26" s="64">
        <f t="shared" si="3"/>
        <v>0</v>
      </c>
      <c r="L26" s="1"/>
      <c r="M26" s="1"/>
      <c r="N26" s="118"/>
      <c r="O26" s="118"/>
      <c r="P26" s="118"/>
      <c r="Q26" s="118"/>
      <c r="R26" s="116"/>
      <c r="S26" s="118"/>
      <c r="T26" s="118"/>
      <c r="U26" s="118"/>
      <c r="V26" s="118"/>
      <c r="W26" s="118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</row>
    <row r="27" spans="1:257" customFormat="1" ht="15.75" x14ac:dyDescent="0.25">
      <c r="A27" s="79" t="s">
        <v>150</v>
      </c>
      <c r="B27" s="80" t="s">
        <v>156</v>
      </c>
      <c r="C27" s="86" t="s">
        <v>152</v>
      </c>
      <c r="D27" s="80">
        <v>10.403600000000001</v>
      </c>
      <c r="E27" s="82">
        <v>20547110</v>
      </c>
      <c r="F27" s="82">
        <v>20547110</v>
      </c>
      <c r="G27" s="82">
        <v>20547110</v>
      </c>
      <c r="H27" s="82">
        <v>20547110</v>
      </c>
      <c r="I27" s="123">
        <v>20547110</v>
      </c>
      <c r="J27" s="64">
        <v>20547110</v>
      </c>
      <c r="K27" s="64">
        <f t="shared" si="3"/>
        <v>0</v>
      </c>
      <c r="L27" s="1"/>
      <c r="M27" s="1"/>
      <c r="N27" s="173"/>
      <c r="O27" s="118"/>
      <c r="P27" s="118"/>
      <c r="Q27" s="118"/>
      <c r="R27" s="116"/>
      <c r="S27" s="118"/>
      <c r="T27" s="118"/>
      <c r="U27" s="118"/>
      <c r="V27" s="118"/>
      <c r="W27" s="118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</row>
    <row r="28" spans="1:257" customFormat="1" ht="15.75" x14ac:dyDescent="0.25">
      <c r="A28" s="79" t="s">
        <v>153</v>
      </c>
      <c r="B28" s="80" t="s">
        <v>157</v>
      </c>
      <c r="C28" s="86" t="s">
        <v>158</v>
      </c>
      <c r="D28" s="82">
        <v>12664</v>
      </c>
      <c r="E28" s="82">
        <v>15196800</v>
      </c>
      <c r="F28" s="82">
        <v>15196800</v>
      </c>
      <c r="G28" s="82">
        <v>15196800</v>
      </c>
      <c r="H28" s="82">
        <v>15196800</v>
      </c>
      <c r="I28" s="123">
        <v>15196800</v>
      </c>
      <c r="J28" s="64">
        <v>15196800</v>
      </c>
      <c r="K28" s="64">
        <f t="shared" si="3"/>
        <v>0</v>
      </c>
      <c r="L28" s="1"/>
      <c r="M28" s="1"/>
      <c r="N28" s="118"/>
      <c r="O28" s="118"/>
      <c r="P28" s="118"/>
      <c r="Q28" s="118"/>
      <c r="R28" s="116"/>
      <c r="S28" s="118"/>
      <c r="T28" s="118"/>
      <c r="U28" s="118"/>
      <c r="V28" s="118"/>
      <c r="W28" s="118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</row>
    <row r="29" spans="1:257" customFormat="1" ht="15.75" x14ac:dyDescent="0.25">
      <c r="A29" s="79" t="s">
        <v>159</v>
      </c>
      <c r="B29" s="80" t="s">
        <v>160</v>
      </c>
      <c r="C29" s="81">
        <v>2606040</v>
      </c>
      <c r="D29" s="80">
        <v>2</v>
      </c>
      <c r="E29" s="82">
        <v>5212080</v>
      </c>
      <c r="F29" s="82">
        <v>5212080</v>
      </c>
      <c r="G29" s="82">
        <v>5212080</v>
      </c>
      <c r="H29" s="82">
        <v>5212080</v>
      </c>
      <c r="I29" s="123">
        <v>5512080</v>
      </c>
      <c r="J29" s="64">
        <v>5512080</v>
      </c>
      <c r="K29" s="64">
        <f>J29-I29</f>
        <v>0</v>
      </c>
      <c r="L29" s="1"/>
      <c r="M29" s="1"/>
      <c r="N29" s="118"/>
      <c r="O29" s="118"/>
      <c r="P29" s="118"/>
      <c r="Q29" s="118"/>
      <c r="R29" s="116"/>
      <c r="S29" s="118"/>
      <c r="T29" s="118"/>
      <c r="U29" s="118"/>
      <c r="V29" s="118"/>
      <c r="W29" s="118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</row>
    <row r="30" spans="1:257" customFormat="1" ht="15.75" x14ac:dyDescent="0.25">
      <c r="A30" s="83" t="s">
        <v>161</v>
      </c>
      <c r="B30" s="80" t="s">
        <v>162</v>
      </c>
      <c r="C30" s="80"/>
      <c r="D30" s="80"/>
      <c r="E30" s="82">
        <v>5950000</v>
      </c>
      <c r="F30" s="82">
        <v>5950000</v>
      </c>
      <c r="G30" s="82">
        <v>5950000</v>
      </c>
      <c r="H30" s="82">
        <f>5950000-300000</f>
        <v>5650000</v>
      </c>
      <c r="I30" s="123">
        <v>5650000</v>
      </c>
      <c r="J30" s="64">
        <v>5650000</v>
      </c>
      <c r="K30" s="64">
        <f>J30-I30</f>
        <v>0</v>
      </c>
      <c r="L30" s="1"/>
      <c r="M30" s="96"/>
      <c r="N30" s="118"/>
      <c r="O30" s="118"/>
      <c r="P30" s="118"/>
      <c r="Q30" s="118"/>
      <c r="R30" s="116"/>
      <c r="S30" s="118"/>
      <c r="T30" s="118"/>
      <c r="U30" s="118"/>
      <c r="V30" s="118"/>
      <c r="W30" s="118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</row>
    <row r="31" spans="1:257" customFormat="1" ht="15.75" x14ac:dyDescent="0.25">
      <c r="A31" s="90"/>
      <c r="B31" s="80" t="s">
        <v>173</v>
      </c>
      <c r="C31" s="80"/>
      <c r="D31" s="80"/>
      <c r="E31" s="82"/>
      <c r="F31" s="82">
        <v>3086688</v>
      </c>
      <c r="G31" s="82">
        <v>3906854</v>
      </c>
      <c r="H31" s="82">
        <f>'KGYCSSZK ktg. mérleg'!E41</f>
        <v>4820285</v>
      </c>
      <c r="I31" s="123">
        <v>4820285</v>
      </c>
      <c r="J31" s="1"/>
      <c r="K31" s="1"/>
      <c r="L31" s="1"/>
      <c r="M31" s="96"/>
      <c r="N31" s="118"/>
      <c r="O31" s="118"/>
      <c r="P31" s="118"/>
      <c r="Q31" s="118"/>
      <c r="R31" s="116"/>
      <c r="S31" s="118"/>
      <c r="T31" s="118"/>
      <c r="U31" s="118"/>
      <c r="V31" s="118"/>
      <c r="W31" s="118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</row>
    <row r="32" spans="1:257" customFormat="1" ht="15.75" x14ac:dyDescent="0.25">
      <c r="A32" s="90"/>
      <c r="B32" s="80" t="s">
        <v>185</v>
      </c>
      <c r="C32" s="80"/>
      <c r="D32" s="80"/>
      <c r="E32" s="82"/>
      <c r="F32" s="82">
        <v>2546244</v>
      </c>
      <c r="G32" s="82">
        <v>7365550</v>
      </c>
      <c r="H32" s="82">
        <f>'KGYCSSZK ktg. mérleg'!E42</f>
        <v>7365550</v>
      </c>
      <c r="I32" s="123">
        <v>7365550</v>
      </c>
      <c r="J32" s="1"/>
      <c r="K32" s="1"/>
      <c r="L32" s="1"/>
      <c r="M32" s="96"/>
      <c r="N32" s="118"/>
      <c r="O32" s="118"/>
      <c r="P32" s="118"/>
      <c r="Q32" s="118"/>
      <c r="R32" s="116"/>
      <c r="S32" s="118"/>
      <c r="T32" s="118"/>
      <c r="U32" s="118"/>
      <c r="V32" s="118"/>
      <c r="W32" s="118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</row>
    <row r="33" spans="1:257" ht="15.75" x14ac:dyDescent="0.25">
      <c r="A33" s="90"/>
      <c r="B33" s="91" t="s">
        <v>94</v>
      </c>
      <c r="C33" s="87"/>
      <c r="D33" s="87"/>
      <c r="E33" s="88">
        <f>SUM(E25:E30)</f>
        <v>89300600</v>
      </c>
      <c r="F33" s="88">
        <f>SUM(F25:F32)</f>
        <v>94933532</v>
      </c>
      <c r="G33" s="88">
        <f>SUM(G25:G32)</f>
        <v>100573004</v>
      </c>
      <c r="H33" s="88">
        <f>SUM(H25:H32)</f>
        <v>101186435</v>
      </c>
      <c r="I33" s="88">
        <f>SUM(I25:I32)</f>
        <v>101486435</v>
      </c>
      <c r="J33" s="174">
        <f>SUM(J25:J32)</f>
        <v>89300600</v>
      </c>
      <c r="K33" s="175">
        <f t="shared" ref="K33" si="4">SUM(K25:K32)</f>
        <v>0</v>
      </c>
      <c r="M33" s="96"/>
      <c r="N33" s="118"/>
      <c r="O33" s="118"/>
      <c r="P33" s="118"/>
      <c r="Q33" s="118"/>
      <c r="R33" s="116"/>
      <c r="S33" s="118"/>
      <c r="T33" s="118"/>
      <c r="U33" s="118"/>
      <c r="V33" s="118"/>
      <c r="W33" s="118"/>
    </row>
    <row r="34" spans="1:257" customFormat="1" ht="16.5" thickBot="1" x14ac:dyDescent="0.3">
      <c r="A34" s="87"/>
      <c r="B34" s="91"/>
      <c r="C34" s="87"/>
      <c r="D34" s="87"/>
      <c r="E34" s="88"/>
      <c r="F34" s="88"/>
      <c r="G34" s="1"/>
      <c r="H34" s="1"/>
      <c r="I34" s="1"/>
      <c r="J34" s="1"/>
      <c r="K34" s="1"/>
      <c r="L34" s="1"/>
      <c r="M34" s="1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</row>
    <row r="35" spans="1:257" customFormat="1" ht="16.5" thickBot="1" x14ac:dyDescent="0.3">
      <c r="A35" s="87"/>
      <c r="B35" s="91" t="s">
        <v>164</v>
      </c>
      <c r="C35" s="87"/>
      <c r="D35" s="87"/>
      <c r="E35" s="88">
        <f>E21+E33</f>
        <v>321246600</v>
      </c>
      <c r="F35" s="88">
        <f>F33+F21</f>
        <v>340582519</v>
      </c>
      <c r="G35" s="88">
        <f>G33+G21</f>
        <v>355634218</v>
      </c>
      <c r="H35" s="88">
        <f>H33+H21</f>
        <v>370821934</v>
      </c>
      <c r="I35" s="88">
        <f>I33+I21</f>
        <v>359567227</v>
      </c>
      <c r="J35" s="174">
        <f>J33+J21</f>
        <v>325837184</v>
      </c>
      <c r="K35" s="176">
        <f t="shared" ref="K35" si="5">K33+K21</f>
        <v>-3160725</v>
      </c>
      <c r="L35" s="1" t="s">
        <v>230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</row>
    <row r="36" spans="1:257" customFormat="1" ht="15.75" x14ac:dyDescent="0.25">
      <c r="A36" s="87"/>
      <c r="B36" s="91"/>
      <c r="C36" s="87"/>
      <c r="D36" s="87"/>
      <c r="E36" s="88"/>
      <c r="F36" s="88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</row>
    <row r="37" spans="1:257" customFormat="1" ht="15.75" x14ac:dyDescent="0.25">
      <c r="A37" s="87" t="s">
        <v>186</v>
      </c>
      <c r="B37" s="91"/>
      <c r="C37" s="87"/>
      <c r="D37" s="87"/>
      <c r="E37" s="88"/>
      <c r="F37" s="8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</row>
    <row r="38" spans="1:257" customFormat="1" ht="15.75" x14ac:dyDescent="0.25">
      <c r="A38" s="121" t="s">
        <v>215</v>
      </c>
      <c r="B38" s="91"/>
      <c r="C38" s="87"/>
      <c r="D38" s="87"/>
      <c r="E38" s="88"/>
      <c r="F38" s="88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</row>
    <row r="39" spans="1:257" s="165" customFormat="1" ht="15.75" x14ac:dyDescent="0.25">
      <c r="A39" s="121"/>
      <c r="B39" s="91"/>
      <c r="C39" s="87"/>
      <c r="D39" s="87"/>
      <c r="E39" s="88"/>
      <c r="F39" s="8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</row>
    <row r="40" spans="1:257" s="165" customFormat="1" ht="15.75" x14ac:dyDescent="0.25">
      <c r="A40" s="121" t="s">
        <v>231</v>
      </c>
      <c r="B40" s="91"/>
      <c r="C40" s="87"/>
      <c r="D40" s="87"/>
      <c r="E40" s="88"/>
      <c r="F40" s="88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</row>
    <row r="41" spans="1:257" customFormat="1" ht="15.75" x14ac:dyDescent="0.25">
      <c r="A41" s="87"/>
      <c r="B41" s="87"/>
      <c r="C41" s="87"/>
      <c r="D41" s="87"/>
      <c r="E41" s="88"/>
      <c r="F41" s="88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</row>
    <row r="42" spans="1:257" x14ac:dyDescent="0.25">
      <c r="A42" s="165" t="s">
        <v>226</v>
      </c>
    </row>
  </sheetData>
  <mergeCells count="5">
    <mergeCell ref="B1:E1"/>
    <mergeCell ref="A6:C6"/>
    <mergeCell ref="A23:C23"/>
    <mergeCell ref="A2:E2"/>
    <mergeCell ref="A4:E4"/>
  </mergeCells>
  <phoneticPr fontId="23" type="noConversion"/>
  <pageMargins left="0.70000000000000007" right="0.70000000000000007" top="1.1437007874015752" bottom="1.1437007874015752" header="0.75000000000000011" footer="0.75000000000000011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97" workbookViewId="0">
      <selection activeCell="F97" sqref="F97"/>
    </sheetView>
  </sheetViews>
  <sheetFormatPr defaultRowHeight="14.25" x14ac:dyDescent="0.2"/>
  <cols>
    <col min="1" max="1" width="35.5" customWidth="1"/>
    <col min="2" max="2" width="12.75" customWidth="1"/>
    <col min="3" max="3" width="13.875" customWidth="1"/>
    <col min="5" max="5" width="36.5" customWidth="1"/>
    <col min="6" max="6" width="13" customWidth="1"/>
    <col min="7" max="7" width="12.75" customWidth="1"/>
  </cols>
  <sheetData>
    <row r="1" spans="1:7" x14ac:dyDescent="0.2">
      <c r="F1" s="216" t="s">
        <v>292</v>
      </c>
      <c r="G1" s="216"/>
    </row>
    <row r="3" spans="1:7" ht="30" x14ac:dyDescent="0.2">
      <c r="A3" s="178" t="s">
        <v>291</v>
      </c>
      <c r="B3" s="178" t="s">
        <v>232</v>
      </c>
      <c r="C3" s="178" t="s">
        <v>233</v>
      </c>
      <c r="E3" s="178" t="s">
        <v>288</v>
      </c>
      <c r="F3" s="178" t="s">
        <v>232</v>
      </c>
      <c r="G3" s="178" t="s">
        <v>233</v>
      </c>
    </row>
    <row r="4" spans="1:7" ht="15" x14ac:dyDescent="0.2">
      <c r="A4" s="178"/>
      <c r="B4" s="178" t="s">
        <v>234</v>
      </c>
      <c r="C4" s="178" t="s">
        <v>120</v>
      </c>
      <c r="E4" s="178" t="s">
        <v>286</v>
      </c>
      <c r="F4" s="178" t="s">
        <v>287</v>
      </c>
      <c r="G4" s="178" t="s">
        <v>120</v>
      </c>
    </row>
    <row r="5" spans="1:7" ht="20.100000000000001" customHeight="1" x14ac:dyDescent="0.2">
      <c r="A5" s="181" t="s">
        <v>235</v>
      </c>
      <c r="B5" s="182">
        <v>599</v>
      </c>
      <c r="C5" s="182">
        <v>257</v>
      </c>
      <c r="E5" s="181" t="s">
        <v>235</v>
      </c>
      <c r="F5" s="182">
        <v>599</v>
      </c>
      <c r="G5" s="182">
        <v>257</v>
      </c>
    </row>
    <row r="6" spans="1:7" ht="20.100000000000001" customHeight="1" x14ac:dyDescent="0.2">
      <c r="A6" s="181" t="s">
        <v>236</v>
      </c>
      <c r="B6" s="182">
        <v>267</v>
      </c>
      <c r="C6" s="182">
        <v>142</v>
      </c>
      <c r="E6" s="181" t="s">
        <v>236</v>
      </c>
      <c r="F6" s="182">
        <v>214</v>
      </c>
      <c r="G6" s="182">
        <v>142</v>
      </c>
    </row>
    <row r="7" spans="1:7" ht="20.100000000000001" customHeight="1" x14ac:dyDescent="0.2">
      <c r="A7" s="179" t="s">
        <v>237</v>
      </c>
      <c r="B7" s="180">
        <v>866</v>
      </c>
      <c r="C7" s="180">
        <v>399</v>
      </c>
      <c r="E7" s="179" t="s">
        <v>237</v>
      </c>
      <c r="F7" s="180">
        <v>813</v>
      </c>
      <c r="G7" s="180">
        <v>399</v>
      </c>
    </row>
    <row r="8" spans="1:7" ht="28.5" customHeight="1" x14ac:dyDescent="0.2">
      <c r="A8" s="181" t="s">
        <v>238</v>
      </c>
      <c r="B8" s="182">
        <v>406959</v>
      </c>
      <c r="C8" s="182">
        <v>404428</v>
      </c>
      <c r="E8" s="181" t="s">
        <v>239</v>
      </c>
      <c r="F8" s="182">
        <v>3339</v>
      </c>
      <c r="G8" s="182">
        <v>1948</v>
      </c>
    </row>
    <row r="9" spans="1:7" ht="29.25" customHeight="1" x14ac:dyDescent="0.2">
      <c r="A9" s="181" t="s">
        <v>239</v>
      </c>
      <c r="B9" s="182">
        <v>15462</v>
      </c>
      <c r="C9" s="182">
        <v>11039</v>
      </c>
      <c r="E9" s="181" t="s">
        <v>240</v>
      </c>
      <c r="F9" s="182">
        <v>7451</v>
      </c>
      <c r="G9" s="182">
        <v>7451</v>
      </c>
    </row>
    <row r="10" spans="1:7" ht="20.100000000000001" customHeight="1" x14ac:dyDescent="0.2">
      <c r="A10" s="181" t="s">
        <v>240</v>
      </c>
      <c r="B10" s="182">
        <v>7451</v>
      </c>
      <c r="C10" s="182">
        <v>7451</v>
      </c>
      <c r="E10" s="179" t="s">
        <v>241</v>
      </c>
      <c r="F10" s="180">
        <v>10790</v>
      </c>
      <c r="G10" s="180">
        <v>9399</v>
      </c>
    </row>
    <row r="11" spans="1:7" ht="37.5" customHeight="1" x14ac:dyDescent="0.2">
      <c r="A11" s="179" t="s">
        <v>241</v>
      </c>
      <c r="B11" s="180">
        <v>429872</v>
      </c>
      <c r="C11" s="180">
        <v>422918</v>
      </c>
      <c r="E11" s="179" t="s">
        <v>242</v>
      </c>
      <c r="F11" s="180">
        <v>11603</v>
      </c>
      <c r="G11" s="180">
        <v>9798</v>
      </c>
    </row>
    <row r="12" spans="1:7" ht="39.75" customHeight="1" x14ac:dyDescent="0.2">
      <c r="A12" s="179" t="s">
        <v>242</v>
      </c>
      <c r="B12" s="180">
        <v>430738</v>
      </c>
      <c r="C12" s="180">
        <v>423317</v>
      </c>
      <c r="E12" s="181" t="s">
        <v>248</v>
      </c>
      <c r="F12" s="182">
        <v>3258</v>
      </c>
      <c r="G12" s="182">
        <v>35219</v>
      </c>
    </row>
    <row r="13" spans="1:7" ht="20.100000000000001" customHeight="1" x14ac:dyDescent="0.2">
      <c r="A13" s="181" t="s">
        <v>243</v>
      </c>
      <c r="B13" s="182">
        <v>3300</v>
      </c>
      <c r="C13" s="182">
        <v>3708</v>
      </c>
      <c r="E13" s="179" t="s">
        <v>249</v>
      </c>
      <c r="F13" s="180">
        <v>3258</v>
      </c>
      <c r="G13" s="180">
        <v>35219</v>
      </c>
    </row>
    <row r="14" spans="1:7" ht="20.100000000000001" customHeight="1" x14ac:dyDescent="0.2">
      <c r="A14" s="179" t="s">
        <v>244</v>
      </c>
      <c r="B14" s="180">
        <v>3300</v>
      </c>
      <c r="C14" s="180">
        <v>3708</v>
      </c>
      <c r="E14" s="179" t="s">
        <v>250</v>
      </c>
      <c r="F14" s="180">
        <v>3258</v>
      </c>
      <c r="G14" s="180">
        <v>35219</v>
      </c>
    </row>
    <row r="15" spans="1:7" ht="27.75" customHeight="1" x14ac:dyDescent="0.2">
      <c r="A15" s="179" t="s">
        <v>245</v>
      </c>
      <c r="B15" s="180">
        <v>3300</v>
      </c>
      <c r="C15" s="180">
        <v>3708</v>
      </c>
      <c r="E15" s="179" t="s">
        <v>256</v>
      </c>
      <c r="F15" s="180">
        <v>56</v>
      </c>
      <c r="G15" s="180">
        <v>5078</v>
      </c>
    </row>
    <row r="16" spans="1:7" ht="31.5" customHeight="1" x14ac:dyDescent="0.2">
      <c r="A16" s="181" t="s">
        <v>246</v>
      </c>
      <c r="B16" s="182">
        <v>3188</v>
      </c>
      <c r="C16" s="182">
        <v>1691</v>
      </c>
      <c r="E16" s="179" t="s">
        <v>260</v>
      </c>
      <c r="F16" s="180">
        <v>908</v>
      </c>
      <c r="G16" s="180">
        <v>0</v>
      </c>
    </row>
    <row r="17" spans="1:7" ht="28.5" customHeight="1" x14ac:dyDescent="0.2">
      <c r="A17" s="179" t="s">
        <v>247</v>
      </c>
      <c r="B17" s="180">
        <v>3188</v>
      </c>
      <c r="C17" s="180">
        <v>1691</v>
      </c>
      <c r="E17" s="179" t="s">
        <v>261</v>
      </c>
      <c r="F17" s="180">
        <v>964</v>
      </c>
      <c r="G17" s="180">
        <v>5078</v>
      </c>
    </row>
    <row r="18" spans="1:7" ht="29.25" customHeight="1" x14ac:dyDescent="0.2">
      <c r="A18" s="181" t="s">
        <v>248</v>
      </c>
      <c r="B18" s="182">
        <v>6108</v>
      </c>
      <c r="C18" s="182">
        <v>54686</v>
      </c>
      <c r="E18" s="179" t="s">
        <v>264</v>
      </c>
      <c r="F18" s="180">
        <v>18264</v>
      </c>
      <c r="G18" s="180">
        <v>20870</v>
      </c>
    </row>
    <row r="19" spans="1:7" ht="28.5" customHeight="1" x14ac:dyDescent="0.2">
      <c r="A19" s="179" t="s">
        <v>249</v>
      </c>
      <c r="B19" s="180">
        <v>6108</v>
      </c>
      <c r="C19" s="180">
        <v>54686</v>
      </c>
      <c r="E19" s="179" t="s">
        <v>267</v>
      </c>
      <c r="F19" s="180">
        <v>127</v>
      </c>
      <c r="G19" s="180">
        <v>0</v>
      </c>
    </row>
    <row r="20" spans="1:7" ht="20.100000000000001" customHeight="1" x14ac:dyDescent="0.2">
      <c r="A20" s="179" t="s">
        <v>250</v>
      </c>
      <c r="B20" s="180">
        <v>9296</v>
      </c>
      <c r="C20" s="180">
        <v>56377</v>
      </c>
      <c r="E20" s="179" t="s">
        <v>268</v>
      </c>
      <c r="F20" s="180">
        <v>34216</v>
      </c>
      <c r="G20" s="180">
        <v>70965</v>
      </c>
    </row>
    <row r="21" spans="1:7" ht="20.100000000000001" hidden="1" customHeight="1" x14ac:dyDescent="0.2">
      <c r="A21" s="181" t="s">
        <v>251</v>
      </c>
      <c r="B21" s="182">
        <v>10822</v>
      </c>
      <c r="C21" s="182">
        <v>13174</v>
      </c>
      <c r="E21" s="181" t="s">
        <v>269</v>
      </c>
      <c r="F21" s="182">
        <v>26710</v>
      </c>
      <c r="G21" s="182">
        <v>26710</v>
      </c>
    </row>
    <row r="22" spans="1:7" ht="20.100000000000001" hidden="1" customHeight="1" x14ac:dyDescent="0.2">
      <c r="A22" s="181" t="s">
        <v>252</v>
      </c>
      <c r="B22" s="182">
        <v>44</v>
      </c>
      <c r="C22" s="182">
        <v>5072</v>
      </c>
      <c r="E22" s="181" t="s">
        <v>270</v>
      </c>
      <c r="F22" s="182">
        <v>0</v>
      </c>
      <c r="G22" s="182">
        <v>-16217</v>
      </c>
    </row>
    <row r="23" spans="1:7" ht="20.100000000000001" hidden="1" customHeight="1" x14ac:dyDescent="0.2">
      <c r="A23" s="181" t="s">
        <v>253</v>
      </c>
      <c r="B23" s="182">
        <v>10412</v>
      </c>
      <c r="C23" s="182">
        <v>8096</v>
      </c>
      <c r="E23" s="181" t="s">
        <v>271</v>
      </c>
      <c r="F23" s="182">
        <v>23290</v>
      </c>
      <c r="G23" s="182">
        <v>23290</v>
      </c>
    </row>
    <row r="24" spans="1:7" ht="20.100000000000001" hidden="1" customHeight="1" x14ac:dyDescent="0.2">
      <c r="A24" s="181" t="s">
        <v>254</v>
      </c>
      <c r="B24" s="182">
        <v>12</v>
      </c>
      <c r="C24" s="182">
        <v>6</v>
      </c>
      <c r="E24" s="181" t="s">
        <v>272</v>
      </c>
      <c r="F24" s="182">
        <v>-13018</v>
      </c>
      <c r="G24" s="182">
        <v>-15889</v>
      </c>
    </row>
    <row r="25" spans="1:7" ht="20.100000000000001" hidden="1" customHeight="1" x14ac:dyDescent="0.2">
      <c r="A25" s="181" t="s">
        <v>255</v>
      </c>
      <c r="B25" s="182">
        <v>354</v>
      </c>
      <c r="C25" s="182">
        <v>0</v>
      </c>
      <c r="E25" s="181" t="s">
        <v>273</v>
      </c>
      <c r="F25" s="182">
        <v>-2871</v>
      </c>
      <c r="G25" s="182">
        <v>31621</v>
      </c>
    </row>
    <row r="26" spans="1:7" ht="25.5" customHeight="1" x14ac:dyDescent="0.2">
      <c r="A26" s="179" t="s">
        <v>256</v>
      </c>
      <c r="B26" s="180">
        <v>10822</v>
      </c>
      <c r="C26" s="180">
        <v>13174</v>
      </c>
      <c r="E26" s="181" t="s">
        <v>269</v>
      </c>
      <c r="F26" s="182">
        <v>26710</v>
      </c>
      <c r="G26" s="182">
        <v>26710</v>
      </c>
    </row>
    <row r="27" spans="1:7" ht="20.100000000000001" hidden="1" customHeight="1" x14ac:dyDescent="0.2">
      <c r="A27" s="181" t="s">
        <v>257</v>
      </c>
      <c r="B27" s="182">
        <v>1785</v>
      </c>
      <c r="C27" s="182">
        <v>875</v>
      </c>
      <c r="E27" s="181" t="s">
        <v>270</v>
      </c>
      <c r="F27" s="182">
        <v>0</v>
      </c>
      <c r="G27" s="182">
        <v>-16217</v>
      </c>
    </row>
    <row r="28" spans="1:7" ht="20.100000000000001" hidden="1" customHeight="1" x14ac:dyDescent="0.2">
      <c r="A28" s="181" t="s">
        <v>258</v>
      </c>
      <c r="B28" s="182">
        <v>908</v>
      </c>
      <c r="C28" s="182">
        <v>0</v>
      </c>
      <c r="E28" s="181" t="s">
        <v>271</v>
      </c>
      <c r="F28" s="182">
        <v>23290</v>
      </c>
      <c r="G28" s="182">
        <v>23290</v>
      </c>
    </row>
    <row r="29" spans="1:7" ht="20.100000000000001" hidden="1" customHeight="1" x14ac:dyDescent="0.2">
      <c r="A29" s="181" t="s">
        <v>259</v>
      </c>
      <c r="B29" s="182">
        <v>877</v>
      </c>
      <c r="C29" s="182">
        <v>875</v>
      </c>
      <c r="E29" s="181" t="s">
        <v>272</v>
      </c>
      <c r="F29" s="182">
        <v>-13018</v>
      </c>
      <c r="G29" s="182">
        <v>-15889</v>
      </c>
    </row>
    <row r="30" spans="1:7" ht="31.5" customHeight="1" x14ac:dyDescent="0.2">
      <c r="A30" s="179" t="s">
        <v>260</v>
      </c>
      <c r="B30" s="180">
        <v>1785</v>
      </c>
      <c r="C30" s="180">
        <v>875</v>
      </c>
      <c r="E30" s="181" t="s">
        <v>270</v>
      </c>
      <c r="F30" s="182">
        <v>0</v>
      </c>
      <c r="G30" s="182">
        <v>-16217</v>
      </c>
    </row>
    <row r="31" spans="1:7" ht="32.25" customHeight="1" x14ac:dyDescent="0.2">
      <c r="A31" s="179" t="s">
        <v>261</v>
      </c>
      <c r="B31" s="180">
        <v>12607</v>
      </c>
      <c r="C31" s="180">
        <v>14049</v>
      </c>
      <c r="E31" s="181" t="s">
        <v>271</v>
      </c>
      <c r="F31" s="182">
        <v>23290</v>
      </c>
      <c r="G31" s="182">
        <v>23290</v>
      </c>
    </row>
    <row r="32" spans="1:7" ht="20.100000000000001" hidden="1" customHeight="1" x14ac:dyDescent="0.2">
      <c r="A32" s="181" t="s">
        <v>262</v>
      </c>
      <c r="B32" s="182">
        <v>18264</v>
      </c>
      <c r="C32" s="182">
        <v>20870</v>
      </c>
      <c r="E32" s="179" t="s">
        <v>276</v>
      </c>
      <c r="F32" s="180">
        <v>0</v>
      </c>
      <c r="G32" s="180">
        <v>5045</v>
      </c>
    </row>
    <row r="33" spans="1:7" ht="20.100000000000001" hidden="1" customHeight="1" x14ac:dyDescent="0.2">
      <c r="A33" s="181" t="s">
        <v>263</v>
      </c>
      <c r="B33" s="182">
        <v>0</v>
      </c>
      <c r="C33" s="182">
        <v>5381</v>
      </c>
      <c r="E33" s="179" t="s">
        <v>278</v>
      </c>
      <c r="F33" s="180">
        <v>0</v>
      </c>
      <c r="G33" s="180">
        <v>177</v>
      </c>
    </row>
    <row r="34" spans="1:7" ht="25.5" customHeight="1" x14ac:dyDescent="0.2">
      <c r="A34" s="179" t="s">
        <v>264</v>
      </c>
      <c r="B34" s="180">
        <v>18264</v>
      </c>
      <c r="C34" s="180">
        <v>26251</v>
      </c>
      <c r="E34" s="181" t="s">
        <v>272</v>
      </c>
      <c r="F34" s="182">
        <v>-13018</v>
      </c>
      <c r="G34" s="182">
        <v>-15889</v>
      </c>
    </row>
    <row r="35" spans="1:7" ht="20.100000000000001" hidden="1" customHeight="1" x14ac:dyDescent="0.2">
      <c r="A35" s="181" t="s">
        <v>265</v>
      </c>
      <c r="B35" s="182">
        <v>20</v>
      </c>
      <c r="C35" s="182">
        <v>0</v>
      </c>
      <c r="E35" s="179" t="s">
        <v>282</v>
      </c>
      <c r="F35" s="180">
        <v>0</v>
      </c>
      <c r="G35" s="180">
        <v>21439</v>
      </c>
    </row>
    <row r="36" spans="1:7" ht="20.100000000000001" hidden="1" customHeight="1" x14ac:dyDescent="0.2">
      <c r="A36" s="181" t="s">
        <v>266</v>
      </c>
      <c r="B36" s="182">
        <v>572</v>
      </c>
      <c r="C36" s="182">
        <v>111</v>
      </c>
      <c r="E36" s="179" t="s">
        <v>284</v>
      </c>
      <c r="F36" s="180">
        <v>105</v>
      </c>
      <c r="G36" s="180">
        <v>11</v>
      </c>
    </row>
    <row r="37" spans="1:7" ht="33.75" customHeight="1" x14ac:dyDescent="0.2">
      <c r="A37" s="179" t="s">
        <v>267</v>
      </c>
      <c r="B37" s="180">
        <v>592</v>
      </c>
      <c r="C37" s="180">
        <v>111</v>
      </c>
      <c r="E37" s="181" t="s">
        <v>272</v>
      </c>
      <c r="F37" s="182">
        <v>-13018</v>
      </c>
      <c r="G37" s="182">
        <v>-15889</v>
      </c>
    </row>
    <row r="38" spans="1:7" ht="20.100000000000001" customHeight="1" x14ac:dyDescent="0.2">
      <c r="A38" s="179" t="s">
        <v>268</v>
      </c>
      <c r="B38" s="180">
        <v>474797</v>
      </c>
      <c r="C38" s="180">
        <v>523813</v>
      </c>
      <c r="E38" s="179" t="s">
        <v>274</v>
      </c>
      <c r="F38" s="180">
        <v>34111</v>
      </c>
      <c r="G38" s="180">
        <v>49515</v>
      </c>
    </row>
    <row r="39" spans="1:7" ht="25.5" customHeight="1" x14ac:dyDescent="0.2">
      <c r="A39" s="181" t="s">
        <v>269</v>
      </c>
      <c r="B39" s="182">
        <v>614205</v>
      </c>
      <c r="C39" s="182">
        <v>614205</v>
      </c>
      <c r="E39" s="179" t="s">
        <v>276</v>
      </c>
      <c r="F39" s="180">
        <v>0</v>
      </c>
      <c r="G39" s="180">
        <v>5045</v>
      </c>
    </row>
    <row r="40" spans="1:7" ht="24.75" customHeight="1" x14ac:dyDescent="0.2">
      <c r="A40" s="181" t="s">
        <v>270</v>
      </c>
      <c r="B40" s="182">
        <v>0</v>
      </c>
      <c r="C40" s="182">
        <v>-16217</v>
      </c>
      <c r="E40" s="179" t="s">
        <v>278</v>
      </c>
      <c r="F40" s="180">
        <v>0</v>
      </c>
      <c r="G40" s="180">
        <v>177</v>
      </c>
    </row>
    <row r="41" spans="1:7" ht="29.25" customHeight="1" x14ac:dyDescent="0.2">
      <c r="A41" s="181" t="s">
        <v>271</v>
      </c>
      <c r="B41" s="182">
        <v>26396</v>
      </c>
      <c r="C41" s="182">
        <v>26396</v>
      </c>
      <c r="E41" s="179" t="s">
        <v>281</v>
      </c>
      <c r="F41" s="180">
        <v>0</v>
      </c>
      <c r="G41" s="180">
        <v>16217</v>
      </c>
    </row>
    <row r="42" spans="1:7" ht="20.100000000000001" customHeight="1" x14ac:dyDescent="0.2">
      <c r="A42" s="181" t="s">
        <v>272</v>
      </c>
      <c r="B42" s="182">
        <v>-158850</v>
      </c>
      <c r="C42" s="182">
        <v>-209488</v>
      </c>
      <c r="E42" s="179" t="s">
        <v>282</v>
      </c>
      <c r="F42" s="180">
        <v>0</v>
      </c>
      <c r="G42" s="180">
        <v>21439</v>
      </c>
    </row>
    <row r="43" spans="1:7" ht="27" customHeight="1" x14ac:dyDescent="0.2">
      <c r="A43" s="181" t="s">
        <v>273</v>
      </c>
      <c r="B43" s="182">
        <v>-50638</v>
      </c>
      <c r="C43" s="182">
        <v>33700</v>
      </c>
      <c r="E43" s="179" t="s">
        <v>284</v>
      </c>
      <c r="F43" s="180">
        <v>105</v>
      </c>
      <c r="G43" s="180">
        <v>11</v>
      </c>
    </row>
    <row r="44" spans="1:7" ht="20.100000000000001" customHeight="1" x14ac:dyDescent="0.2">
      <c r="A44" s="179" t="s">
        <v>274</v>
      </c>
      <c r="B44" s="180">
        <v>431113</v>
      </c>
      <c r="C44" s="180">
        <v>448596</v>
      </c>
      <c r="E44" s="179" t="s">
        <v>285</v>
      </c>
      <c r="F44" s="180">
        <v>34216</v>
      </c>
      <c r="G44" s="180">
        <v>70965</v>
      </c>
    </row>
    <row r="45" spans="1:7" ht="20.100000000000001" hidden="1" customHeight="1" x14ac:dyDescent="0.2">
      <c r="A45" s="181" t="s">
        <v>275</v>
      </c>
      <c r="B45" s="182">
        <v>0</v>
      </c>
      <c r="C45" s="182">
        <v>5045</v>
      </c>
    </row>
    <row r="46" spans="1:7" ht="27.75" customHeight="1" x14ac:dyDescent="0.2">
      <c r="A46" s="179" t="s">
        <v>276</v>
      </c>
      <c r="B46" s="180">
        <v>0</v>
      </c>
      <c r="C46" s="180">
        <v>5045</v>
      </c>
    </row>
    <row r="47" spans="1:7" ht="20.100000000000001" hidden="1" customHeight="1" x14ac:dyDescent="0.2">
      <c r="A47" s="181" t="s">
        <v>277</v>
      </c>
      <c r="B47" s="182">
        <v>0</v>
      </c>
      <c r="C47" s="182">
        <v>177</v>
      </c>
    </row>
    <row r="48" spans="1:7" ht="27.75" customHeight="1" x14ac:dyDescent="0.2">
      <c r="A48" s="179" t="s">
        <v>278</v>
      </c>
      <c r="B48" s="180">
        <v>0</v>
      </c>
      <c r="C48" s="180">
        <v>177</v>
      </c>
    </row>
    <row r="49" spans="1:7" ht="20.100000000000001" hidden="1" customHeight="1" x14ac:dyDescent="0.2">
      <c r="A49" s="181" t="s">
        <v>279</v>
      </c>
      <c r="B49" s="182">
        <v>0</v>
      </c>
      <c r="C49" s="182">
        <v>16217</v>
      </c>
    </row>
    <row r="50" spans="1:7" ht="20.100000000000001" hidden="1" customHeight="1" x14ac:dyDescent="0.2">
      <c r="A50" s="181" t="s">
        <v>280</v>
      </c>
      <c r="B50" s="182">
        <v>3188</v>
      </c>
      <c r="C50" s="182">
        <v>1691</v>
      </c>
    </row>
    <row r="51" spans="1:7" ht="29.25" customHeight="1" x14ac:dyDescent="0.2">
      <c r="A51" s="179" t="s">
        <v>281</v>
      </c>
      <c r="B51" s="180">
        <v>3188</v>
      </c>
      <c r="C51" s="180">
        <v>17908</v>
      </c>
    </row>
    <row r="52" spans="1:7" ht="20.100000000000001" customHeight="1" x14ac:dyDescent="0.2">
      <c r="A52" s="179" t="s">
        <v>282</v>
      </c>
      <c r="B52" s="180">
        <v>3188</v>
      </c>
      <c r="C52" s="180">
        <v>23130</v>
      </c>
    </row>
    <row r="53" spans="1:7" ht="20.100000000000001" hidden="1" customHeight="1" x14ac:dyDescent="0.2">
      <c r="A53" s="181" t="s">
        <v>283</v>
      </c>
      <c r="B53" s="182">
        <v>40496</v>
      </c>
      <c r="C53" s="182">
        <v>52087</v>
      </c>
    </row>
    <row r="54" spans="1:7" ht="26.25" customHeight="1" x14ac:dyDescent="0.2">
      <c r="A54" s="179" t="s">
        <v>284</v>
      </c>
      <c r="B54" s="180">
        <v>40496</v>
      </c>
      <c r="C54" s="180">
        <v>52087</v>
      </c>
    </row>
    <row r="55" spans="1:7" ht="20.100000000000001" customHeight="1" x14ac:dyDescent="0.2">
      <c r="A55" s="179" t="s">
        <v>285</v>
      </c>
      <c r="B55" s="180">
        <v>474797</v>
      </c>
      <c r="C55" s="180">
        <v>523813</v>
      </c>
    </row>
    <row r="58" spans="1:7" ht="30" x14ac:dyDescent="0.2">
      <c r="A58" s="178" t="s">
        <v>288</v>
      </c>
      <c r="B58" s="178" t="s">
        <v>232</v>
      </c>
      <c r="C58" s="178" t="s">
        <v>233</v>
      </c>
      <c r="E58" s="178" t="s">
        <v>288</v>
      </c>
      <c r="F58" s="178" t="s">
        <v>232</v>
      </c>
      <c r="G58" s="178" t="s">
        <v>233</v>
      </c>
    </row>
    <row r="59" spans="1:7" ht="15" x14ac:dyDescent="0.2">
      <c r="A59" s="178" t="s">
        <v>289</v>
      </c>
      <c r="B59" s="178">
        <v>2014</v>
      </c>
      <c r="C59" s="178">
        <v>2015</v>
      </c>
      <c r="E59" s="178" t="s">
        <v>290</v>
      </c>
      <c r="F59" s="178">
        <v>2014</v>
      </c>
      <c r="G59" s="178">
        <v>2015</v>
      </c>
    </row>
    <row r="60" spans="1:7" ht="25.5" x14ac:dyDescent="0.2">
      <c r="A60" s="181" t="s">
        <v>238</v>
      </c>
      <c r="B60" s="182">
        <v>381422</v>
      </c>
      <c r="C60" s="182">
        <v>375733</v>
      </c>
      <c r="E60" s="181" t="s">
        <v>236</v>
      </c>
      <c r="F60" s="182">
        <v>53</v>
      </c>
      <c r="G60" s="182">
        <v>0</v>
      </c>
    </row>
    <row r="61" spans="1:7" ht="25.5" x14ac:dyDescent="0.2">
      <c r="A61" s="181" t="s">
        <v>239</v>
      </c>
      <c r="B61" s="182">
        <v>11807</v>
      </c>
      <c r="C61" s="182">
        <v>8476</v>
      </c>
      <c r="E61" s="179" t="s">
        <v>237</v>
      </c>
      <c r="F61" s="180">
        <v>53</v>
      </c>
      <c r="G61" s="180">
        <v>0</v>
      </c>
    </row>
    <row r="62" spans="1:7" ht="25.5" x14ac:dyDescent="0.2">
      <c r="A62" s="179" t="s">
        <v>241</v>
      </c>
      <c r="B62" s="180">
        <v>393229</v>
      </c>
      <c r="C62" s="180">
        <v>384209</v>
      </c>
      <c r="E62" s="181" t="s">
        <v>238</v>
      </c>
      <c r="F62" s="182">
        <v>25537</v>
      </c>
      <c r="G62" s="182">
        <v>28695</v>
      </c>
    </row>
    <row r="63" spans="1:7" ht="38.25" x14ac:dyDescent="0.2">
      <c r="A63" s="179" t="s">
        <v>242</v>
      </c>
      <c r="B63" s="180">
        <v>393229</v>
      </c>
      <c r="C63" s="180">
        <v>384209</v>
      </c>
      <c r="E63" s="181" t="s">
        <v>239</v>
      </c>
      <c r="F63" s="182">
        <v>316</v>
      </c>
      <c r="G63" s="182">
        <v>615</v>
      </c>
    </row>
    <row r="64" spans="1:7" x14ac:dyDescent="0.2">
      <c r="A64" s="181" t="s">
        <v>243</v>
      </c>
      <c r="B64" s="182">
        <v>3300</v>
      </c>
      <c r="C64" s="182">
        <v>3708</v>
      </c>
      <c r="E64" s="179" t="s">
        <v>241</v>
      </c>
      <c r="F64" s="180">
        <v>25853</v>
      </c>
      <c r="G64" s="180">
        <v>29310</v>
      </c>
    </row>
    <row r="65" spans="1:7" ht="38.25" x14ac:dyDescent="0.2">
      <c r="A65" s="179" t="s">
        <v>244</v>
      </c>
      <c r="B65" s="180">
        <v>3300</v>
      </c>
      <c r="C65" s="180">
        <v>3708</v>
      </c>
      <c r="E65" s="179" t="s">
        <v>242</v>
      </c>
      <c r="F65" s="180">
        <v>25906</v>
      </c>
      <c r="G65" s="180">
        <v>29310</v>
      </c>
    </row>
    <row r="66" spans="1:7" ht="25.5" x14ac:dyDescent="0.2">
      <c r="A66" s="179" t="s">
        <v>245</v>
      </c>
      <c r="B66" s="180">
        <v>3300</v>
      </c>
      <c r="C66" s="180">
        <v>3708</v>
      </c>
      <c r="E66" s="181" t="s">
        <v>248</v>
      </c>
      <c r="F66" s="182">
        <v>415</v>
      </c>
      <c r="G66" s="182">
        <v>2214</v>
      </c>
    </row>
    <row r="67" spans="1:7" x14ac:dyDescent="0.2">
      <c r="A67" s="181" t="s">
        <v>246</v>
      </c>
      <c r="B67" s="182">
        <v>3188</v>
      </c>
      <c r="C67" s="182">
        <v>1691</v>
      </c>
      <c r="E67" s="179" t="s">
        <v>249</v>
      </c>
      <c r="F67" s="180">
        <v>415</v>
      </c>
      <c r="G67" s="180">
        <v>2214</v>
      </c>
    </row>
    <row r="68" spans="1:7" ht="25.5" x14ac:dyDescent="0.2">
      <c r="A68" s="179" t="s">
        <v>247</v>
      </c>
      <c r="B68" s="180">
        <v>3188</v>
      </c>
      <c r="C68" s="180">
        <v>1691</v>
      </c>
      <c r="E68" s="179" t="s">
        <v>250</v>
      </c>
      <c r="F68" s="180">
        <v>415</v>
      </c>
      <c r="G68" s="180">
        <v>2214</v>
      </c>
    </row>
    <row r="69" spans="1:7" ht="25.5" x14ac:dyDescent="0.2">
      <c r="A69" s="181" t="s">
        <v>248</v>
      </c>
      <c r="B69" s="182">
        <v>2435</v>
      </c>
      <c r="C69" s="182">
        <v>17253</v>
      </c>
      <c r="E69" s="179" t="s">
        <v>264</v>
      </c>
      <c r="F69" s="180">
        <v>0</v>
      </c>
      <c r="G69" s="180">
        <v>2015</v>
      </c>
    </row>
    <row r="70" spans="1:7" x14ac:dyDescent="0.2">
      <c r="A70" s="179" t="s">
        <v>249</v>
      </c>
      <c r="B70" s="180">
        <v>2435</v>
      </c>
      <c r="C70" s="180">
        <v>17253</v>
      </c>
      <c r="E70" s="179" t="s">
        <v>268</v>
      </c>
      <c r="F70" s="180">
        <v>26321</v>
      </c>
      <c r="G70" s="180">
        <v>33539</v>
      </c>
    </row>
    <row r="71" spans="1:7" x14ac:dyDescent="0.2">
      <c r="A71" s="179" t="s">
        <v>250</v>
      </c>
      <c r="B71" s="180">
        <v>5623</v>
      </c>
      <c r="C71" s="180">
        <v>18944</v>
      </c>
      <c r="E71" s="181" t="s">
        <v>269</v>
      </c>
      <c r="F71" s="182">
        <v>41575</v>
      </c>
      <c r="G71" s="182">
        <v>41575</v>
      </c>
    </row>
    <row r="72" spans="1:7" ht="25.5" x14ac:dyDescent="0.2">
      <c r="A72" s="179" t="s">
        <v>256</v>
      </c>
      <c r="B72" s="180">
        <v>10766</v>
      </c>
      <c r="C72" s="180">
        <v>8096</v>
      </c>
      <c r="E72" s="181" t="s">
        <v>271</v>
      </c>
      <c r="F72" s="182">
        <v>2106</v>
      </c>
      <c r="G72" s="182">
        <v>2106</v>
      </c>
    </row>
    <row r="73" spans="1:7" ht="25.5" x14ac:dyDescent="0.2">
      <c r="A73" s="179" t="s">
        <v>260</v>
      </c>
      <c r="B73" s="180">
        <v>877</v>
      </c>
      <c r="C73" s="180">
        <v>875</v>
      </c>
      <c r="E73" s="181" t="s">
        <v>272</v>
      </c>
      <c r="F73" s="182">
        <v>-13821</v>
      </c>
      <c r="G73" s="182">
        <v>-26939</v>
      </c>
    </row>
    <row r="74" spans="1:7" x14ac:dyDescent="0.2">
      <c r="A74" s="179" t="s">
        <v>261</v>
      </c>
      <c r="B74" s="180">
        <v>11643</v>
      </c>
      <c r="C74" s="180">
        <v>8971</v>
      </c>
      <c r="E74" s="181" t="s">
        <v>273</v>
      </c>
      <c r="F74" s="182">
        <v>-13118</v>
      </c>
      <c r="G74" s="182">
        <v>3954</v>
      </c>
    </row>
    <row r="75" spans="1:7" ht="25.5" x14ac:dyDescent="0.2">
      <c r="A75" s="179" t="s">
        <v>264</v>
      </c>
      <c r="B75" s="180">
        <v>0</v>
      </c>
      <c r="C75" s="180">
        <v>3366</v>
      </c>
      <c r="E75" s="179" t="s">
        <v>274</v>
      </c>
      <c r="F75" s="180">
        <v>16742</v>
      </c>
      <c r="G75" s="180">
        <v>20696</v>
      </c>
    </row>
    <row r="76" spans="1:7" ht="25.5" x14ac:dyDescent="0.2">
      <c r="A76" s="179" t="s">
        <v>267</v>
      </c>
      <c r="B76" s="180">
        <v>465</v>
      </c>
      <c r="C76" s="180">
        <v>111</v>
      </c>
      <c r="E76" s="181" t="s">
        <v>283</v>
      </c>
      <c r="F76" s="182">
        <v>9579</v>
      </c>
      <c r="G76" s="182">
        <v>12843</v>
      </c>
    </row>
    <row r="77" spans="1:7" ht="25.5" x14ac:dyDescent="0.2">
      <c r="A77" s="179" t="s">
        <v>268</v>
      </c>
      <c r="B77" s="180">
        <v>414260</v>
      </c>
      <c r="C77" s="180">
        <v>419309</v>
      </c>
      <c r="E77" s="179" t="s">
        <v>284</v>
      </c>
      <c r="F77" s="180">
        <v>9579</v>
      </c>
      <c r="G77" s="180">
        <v>12843</v>
      </c>
    </row>
    <row r="78" spans="1:7" x14ac:dyDescent="0.2">
      <c r="A78" s="181" t="s">
        <v>269</v>
      </c>
      <c r="B78" s="182">
        <v>545920</v>
      </c>
      <c r="C78" s="182">
        <v>545920</v>
      </c>
      <c r="E78" s="179" t="s">
        <v>285</v>
      </c>
      <c r="F78" s="180">
        <v>26321</v>
      </c>
      <c r="G78" s="180">
        <v>33539</v>
      </c>
    </row>
    <row r="79" spans="1:7" ht="25.5" x14ac:dyDescent="0.2">
      <c r="A79" s="181" t="s">
        <v>271</v>
      </c>
      <c r="B79" s="182">
        <v>1000</v>
      </c>
      <c r="C79" s="182">
        <v>1000</v>
      </c>
    </row>
    <row r="80" spans="1:7" x14ac:dyDescent="0.2">
      <c r="A80" s="181" t="s">
        <v>272</v>
      </c>
      <c r="B80" s="182">
        <v>-132011</v>
      </c>
      <c r="C80" s="182">
        <v>-166660</v>
      </c>
    </row>
    <row r="81" spans="1:3" x14ac:dyDescent="0.2">
      <c r="A81" s="181" t="s">
        <v>273</v>
      </c>
      <c r="B81" s="182">
        <v>-34649</v>
      </c>
      <c r="C81" s="182">
        <v>-1875</v>
      </c>
    </row>
    <row r="82" spans="1:3" x14ac:dyDescent="0.2">
      <c r="A82" s="179" t="s">
        <v>274</v>
      </c>
      <c r="B82" s="180">
        <v>380260</v>
      </c>
      <c r="C82" s="180">
        <v>378385</v>
      </c>
    </row>
    <row r="83" spans="1:3" ht="25.5" x14ac:dyDescent="0.2">
      <c r="A83" s="179" t="s">
        <v>281</v>
      </c>
      <c r="B83" s="180">
        <v>3188</v>
      </c>
      <c r="C83" s="180">
        <v>1691</v>
      </c>
    </row>
    <row r="84" spans="1:3" x14ac:dyDescent="0.2">
      <c r="A84" s="179" t="s">
        <v>282</v>
      </c>
      <c r="B84" s="180">
        <v>3188</v>
      </c>
      <c r="C84" s="180">
        <v>1691</v>
      </c>
    </row>
    <row r="85" spans="1:3" ht="25.5" x14ac:dyDescent="0.2">
      <c r="A85" s="179" t="s">
        <v>284</v>
      </c>
      <c r="B85" s="180">
        <v>30812</v>
      </c>
      <c r="C85" s="180">
        <v>39233</v>
      </c>
    </row>
    <row r="86" spans="1:3" x14ac:dyDescent="0.2">
      <c r="A86" s="179" t="s">
        <v>285</v>
      </c>
      <c r="B86" s="180">
        <v>414260</v>
      </c>
      <c r="C86" s="180">
        <v>419309</v>
      </c>
    </row>
  </sheetData>
  <mergeCells count="1">
    <mergeCell ref="F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4"/>
  <sheetViews>
    <sheetView topLeftCell="A44" workbookViewId="0">
      <selection activeCell="G44" sqref="G44"/>
    </sheetView>
  </sheetViews>
  <sheetFormatPr defaultRowHeight="14.25" x14ac:dyDescent="0.2"/>
  <cols>
    <col min="2" max="2" width="34" customWidth="1"/>
    <col min="3" max="3" width="11.25" customWidth="1"/>
    <col min="4" max="4" width="12.75" customWidth="1"/>
    <col min="6" max="6" width="33.875" customWidth="1"/>
    <col min="7" max="7" width="13.125" customWidth="1"/>
    <col min="8" max="8" width="13.5" customWidth="1"/>
  </cols>
  <sheetData>
    <row r="1" spans="2:8" x14ac:dyDescent="0.2">
      <c r="G1" t="s">
        <v>384</v>
      </c>
    </row>
    <row r="3" spans="2:8" ht="30" x14ac:dyDescent="0.2">
      <c r="B3" s="178" t="s">
        <v>293</v>
      </c>
      <c r="C3" s="178" t="s">
        <v>232</v>
      </c>
      <c r="D3" s="178" t="s">
        <v>233</v>
      </c>
      <c r="F3" s="178" t="s">
        <v>293</v>
      </c>
      <c r="G3" s="178" t="s">
        <v>232</v>
      </c>
      <c r="H3" s="178" t="s">
        <v>233</v>
      </c>
    </row>
    <row r="4" spans="2:8" ht="15" x14ac:dyDescent="0.2">
      <c r="B4" s="178" t="s">
        <v>294</v>
      </c>
      <c r="C4" s="178">
        <v>2014</v>
      </c>
      <c r="D4" s="178">
        <v>2015</v>
      </c>
      <c r="F4" s="178" t="s">
        <v>319</v>
      </c>
      <c r="G4" s="178">
        <v>2014</v>
      </c>
      <c r="H4" s="178">
        <v>2015</v>
      </c>
    </row>
    <row r="5" spans="2:8" ht="24.95" customHeight="1" x14ac:dyDescent="0.2">
      <c r="B5" s="181" t="s">
        <v>295</v>
      </c>
      <c r="C5" s="182">
        <v>180285</v>
      </c>
      <c r="D5" s="182">
        <v>203742</v>
      </c>
      <c r="F5" s="181" t="s">
        <v>295</v>
      </c>
      <c r="G5" s="182">
        <v>5664</v>
      </c>
      <c r="H5" s="182">
        <v>10835</v>
      </c>
    </row>
    <row r="6" spans="2:8" ht="24.95" customHeight="1" x14ac:dyDescent="0.2">
      <c r="B6" s="179" t="s">
        <v>296</v>
      </c>
      <c r="C6" s="180">
        <v>180285</v>
      </c>
      <c r="D6" s="180">
        <v>203742</v>
      </c>
      <c r="F6" s="179" t="s">
        <v>296</v>
      </c>
      <c r="G6" s="180">
        <v>5664</v>
      </c>
      <c r="H6" s="180">
        <v>10835</v>
      </c>
    </row>
    <row r="7" spans="2:8" ht="24.95" customHeight="1" x14ac:dyDescent="0.2">
      <c r="B7" s="181" t="s">
        <v>297</v>
      </c>
      <c r="C7" s="182">
        <v>451017</v>
      </c>
      <c r="D7" s="182">
        <v>491146</v>
      </c>
      <c r="F7" s="181" t="s">
        <v>298</v>
      </c>
      <c r="G7" s="182">
        <v>499969</v>
      </c>
      <c r="H7" s="182">
        <v>536632</v>
      </c>
    </row>
    <row r="8" spans="2:8" ht="24.95" customHeight="1" x14ac:dyDescent="0.2">
      <c r="B8" s="181" t="s">
        <v>298</v>
      </c>
      <c r="C8" s="182">
        <v>531874</v>
      </c>
      <c r="D8" s="182">
        <v>566677</v>
      </c>
      <c r="F8" s="181" t="s">
        <v>299</v>
      </c>
      <c r="G8" s="182">
        <v>0</v>
      </c>
      <c r="H8" s="182">
        <v>395</v>
      </c>
    </row>
    <row r="9" spans="2:8" ht="24.95" customHeight="1" x14ac:dyDescent="0.2">
      <c r="B9" s="181" t="s">
        <v>299</v>
      </c>
      <c r="C9" s="182">
        <v>13811</v>
      </c>
      <c r="D9" s="182">
        <v>4954</v>
      </c>
      <c r="F9" s="179" t="s">
        <v>300</v>
      </c>
      <c r="G9" s="180">
        <v>499969</v>
      </c>
      <c r="H9" s="180">
        <v>537027</v>
      </c>
    </row>
    <row r="10" spans="2:8" ht="24.95" customHeight="1" x14ac:dyDescent="0.2">
      <c r="B10" s="179" t="s">
        <v>300</v>
      </c>
      <c r="C10" s="180">
        <v>996702</v>
      </c>
      <c r="D10" s="180">
        <v>1062777</v>
      </c>
      <c r="F10" s="181" t="s">
        <v>301</v>
      </c>
      <c r="G10" s="182">
        <v>457</v>
      </c>
      <c r="H10" s="182">
        <v>0</v>
      </c>
    </row>
    <row r="11" spans="2:8" ht="24.95" customHeight="1" x14ac:dyDescent="0.2">
      <c r="B11" s="181" t="s">
        <v>301</v>
      </c>
      <c r="C11" s="182">
        <v>53422</v>
      </c>
      <c r="D11" s="182">
        <v>56270</v>
      </c>
      <c r="F11" s="181" t="s">
        <v>302</v>
      </c>
      <c r="G11" s="182">
        <v>29764</v>
      </c>
      <c r="H11" s="182">
        <v>3375</v>
      </c>
    </row>
    <row r="12" spans="2:8" ht="24.95" customHeight="1" x14ac:dyDescent="0.2">
      <c r="B12" s="181" t="s">
        <v>302</v>
      </c>
      <c r="C12" s="182">
        <v>139378</v>
      </c>
      <c r="D12" s="182">
        <v>107996</v>
      </c>
      <c r="F12" s="181" t="s">
        <v>303</v>
      </c>
      <c r="G12" s="182">
        <v>10400</v>
      </c>
      <c r="H12" s="182">
        <v>10495</v>
      </c>
    </row>
    <row r="13" spans="2:8" ht="24.95" customHeight="1" x14ac:dyDescent="0.2">
      <c r="B13" s="181" t="s">
        <v>303</v>
      </c>
      <c r="C13" s="182">
        <v>10400</v>
      </c>
      <c r="D13" s="182">
        <v>12038</v>
      </c>
      <c r="F13" s="179" t="s">
        <v>304</v>
      </c>
      <c r="G13" s="180">
        <v>40621</v>
      </c>
      <c r="H13" s="180">
        <v>13870</v>
      </c>
    </row>
    <row r="14" spans="2:8" ht="24.95" customHeight="1" x14ac:dyDescent="0.2">
      <c r="B14" s="179" t="s">
        <v>304</v>
      </c>
      <c r="C14" s="180">
        <v>203200</v>
      </c>
      <c r="D14" s="180">
        <v>176304</v>
      </c>
      <c r="F14" s="181" t="s">
        <v>305</v>
      </c>
      <c r="G14" s="182">
        <v>844</v>
      </c>
      <c r="H14" s="182">
        <v>84</v>
      </c>
    </row>
    <row r="15" spans="2:8" ht="24.95" customHeight="1" x14ac:dyDescent="0.2">
      <c r="B15" s="181" t="s">
        <v>305</v>
      </c>
      <c r="C15" s="182">
        <v>357014</v>
      </c>
      <c r="D15" s="182">
        <v>349941</v>
      </c>
      <c r="F15" s="181" t="s">
        <v>306</v>
      </c>
      <c r="G15" s="182">
        <v>1211</v>
      </c>
      <c r="H15" s="182">
        <v>190</v>
      </c>
    </row>
    <row r="16" spans="2:8" ht="24.95" customHeight="1" x14ac:dyDescent="0.2">
      <c r="B16" s="181" t="s">
        <v>306</v>
      </c>
      <c r="C16" s="182">
        <v>56448</v>
      </c>
      <c r="D16" s="182">
        <v>51568</v>
      </c>
      <c r="F16" s="181" t="s">
        <v>307</v>
      </c>
      <c r="G16" s="182">
        <v>757</v>
      </c>
      <c r="H16" s="182">
        <v>50</v>
      </c>
    </row>
    <row r="17" spans="2:8" ht="24.95" customHeight="1" x14ac:dyDescent="0.2">
      <c r="B17" s="181" t="s">
        <v>307</v>
      </c>
      <c r="C17" s="182">
        <v>101492</v>
      </c>
      <c r="D17" s="182">
        <v>107215</v>
      </c>
      <c r="F17" s="179" t="s">
        <v>308</v>
      </c>
      <c r="G17" s="180">
        <v>2812</v>
      </c>
      <c r="H17" s="180">
        <v>324</v>
      </c>
    </row>
    <row r="18" spans="2:8" ht="24.95" customHeight="1" x14ac:dyDescent="0.2">
      <c r="B18" s="179" t="s">
        <v>308</v>
      </c>
      <c r="C18" s="180">
        <v>514954</v>
      </c>
      <c r="D18" s="180">
        <v>508724</v>
      </c>
      <c r="F18" s="179" t="s">
        <v>309</v>
      </c>
      <c r="G18" s="180">
        <v>2025</v>
      </c>
      <c r="H18" s="180">
        <v>1805</v>
      </c>
    </row>
    <row r="19" spans="2:8" ht="24.95" customHeight="1" x14ac:dyDescent="0.2">
      <c r="B19" s="179" t="s">
        <v>309</v>
      </c>
      <c r="C19" s="180">
        <v>15808</v>
      </c>
      <c r="D19" s="180">
        <v>17620</v>
      </c>
      <c r="F19" s="179" t="s">
        <v>310</v>
      </c>
      <c r="G19" s="180">
        <v>461225</v>
      </c>
      <c r="H19" s="180">
        <v>498418</v>
      </c>
    </row>
    <row r="20" spans="2:8" ht="24.95" customHeight="1" x14ac:dyDescent="0.2">
      <c r="B20" s="179" t="s">
        <v>310</v>
      </c>
      <c r="C20" s="180">
        <v>491842</v>
      </c>
      <c r="D20" s="180">
        <v>528347</v>
      </c>
      <c r="F20" s="179" t="s">
        <v>311</v>
      </c>
      <c r="G20" s="180">
        <v>-1050</v>
      </c>
      <c r="H20" s="180">
        <v>33445</v>
      </c>
    </row>
    <row r="21" spans="2:8" ht="24.95" customHeight="1" x14ac:dyDescent="0.2">
      <c r="B21" s="179" t="s">
        <v>311</v>
      </c>
      <c r="C21" s="180">
        <v>-48817</v>
      </c>
      <c r="D21" s="180">
        <v>35524</v>
      </c>
      <c r="F21" s="181" t="s">
        <v>312</v>
      </c>
      <c r="G21" s="182">
        <v>1</v>
      </c>
      <c r="H21" s="182">
        <v>3</v>
      </c>
    </row>
    <row r="22" spans="2:8" ht="24.95" customHeight="1" x14ac:dyDescent="0.2">
      <c r="B22" s="181" t="s">
        <v>312</v>
      </c>
      <c r="C22" s="182">
        <v>1</v>
      </c>
      <c r="D22" s="182">
        <v>3</v>
      </c>
      <c r="F22" s="179" t="s">
        <v>313</v>
      </c>
      <c r="G22" s="180">
        <v>1</v>
      </c>
      <c r="H22" s="180">
        <v>3</v>
      </c>
    </row>
    <row r="23" spans="2:8" ht="24.95" customHeight="1" x14ac:dyDescent="0.2">
      <c r="B23" s="179" t="s">
        <v>313</v>
      </c>
      <c r="C23" s="180">
        <v>1</v>
      </c>
      <c r="D23" s="180">
        <v>3</v>
      </c>
      <c r="F23" s="179" t="s">
        <v>314</v>
      </c>
      <c r="G23" s="180">
        <v>1</v>
      </c>
      <c r="H23" s="180">
        <v>3</v>
      </c>
    </row>
    <row r="24" spans="2:8" ht="24.95" customHeight="1" x14ac:dyDescent="0.2">
      <c r="B24" s="179" t="s">
        <v>314</v>
      </c>
      <c r="C24" s="180">
        <v>1</v>
      </c>
      <c r="D24" s="180">
        <v>3</v>
      </c>
      <c r="F24" s="179" t="s">
        <v>315</v>
      </c>
      <c r="G24" s="180">
        <v>-1049</v>
      </c>
      <c r="H24" s="180">
        <v>33448</v>
      </c>
    </row>
    <row r="25" spans="2:8" ht="24.95" customHeight="1" x14ac:dyDescent="0.2">
      <c r="B25" s="179" t="s">
        <v>315</v>
      </c>
      <c r="C25" s="180">
        <v>-48816</v>
      </c>
      <c r="D25" s="180">
        <v>35527</v>
      </c>
      <c r="F25" s="179" t="s">
        <v>316</v>
      </c>
      <c r="G25" s="180">
        <v>1822</v>
      </c>
      <c r="H25" s="180">
        <v>1827</v>
      </c>
    </row>
    <row r="26" spans="2:8" ht="24.95" customHeight="1" x14ac:dyDescent="0.2">
      <c r="B26" s="179" t="s">
        <v>316</v>
      </c>
      <c r="C26" s="180">
        <v>1822</v>
      </c>
      <c r="D26" s="180">
        <v>1827</v>
      </c>
      <c r="F26" s="179" t="s">
        <v>317</v>
      </c>
      <c r="G26" s="180">
        <v>-1822</v>
      </c>
      <c r="H26" s="180">
        <v>-1827</v>
      </c>
    </row>
    <row r="27" spans="2:8" ht="24.95" customHeight="1" x14ac:dyDescent="0.2">
      <c r="B27" s="179" t="s">
        <v>317</v>
      </c>
      <c r="C27" s="180">
        <v>-1822</v>
      </c>
      <c r="D27" s="180">
        <v>-1827</v>
      </c>
      <c r="F27" s="179" t="s">
        <v>318</v>
      </c>
      <c r="G27" s="180">
        <v>-2871</v>
      </c>
      <c r="H27" s="180">
        <v>31621</v>
      </c>
    </row>
    <row r="28" spans="2:8" ht="24.95" customHeight="1" x14ac:dyDescent="0.2">
      <c r="B28" s="179" t="s">
        <v>318</v>
      </c>
      <c r="C28" s="180">
        <v>-50638</v>
      </c>
      <c r="D28" s="180">
        <v>33700</v>
      </c>
    </row>
    <row r="29" spans="2:8" s="166" customFormat="1" ht="24.95" customHeight="1" x14ac:dyDescent="0.2">
      <c r="B29" s="185"/>
      <c r="C29" s="186"/>
      <c r="D29" s="186"/>
    </row>
    <row r="30" spans="2:8" ht="31.5" customHeight="1" x14ac:dyDescent="0.2">
      <c r="B30" s="178" t="s">
        <v>293</v>
      </c>
      <c r="C30" s="178" t="s">
        <v>232</v>
      </c>
      <c r="D30" s="178" t="s">
        <v>233</v>
      </c>
      <c r="F30" s="178" t="s">
        <v>293</v>
      </c>
      <c r="G30" s="178" t="s">
        <v>232</v>
      </c>
      <c r="H30" s="178" t="s">
        <v>233</v>
      </c>
    </row>
    <row r="31" spans="2:8" ht="24.75" customHeight="1" x14ac:dyDescent="0.2">
      <c r="B31" s="178" t="s">
        <v>289</v>
      </c>
      <c r="C31" s="178">
        <v>2014</v>
      </c>
      <c r="D31" s="178">
        <v>2015</v>
      </c>
      <c r="F31" s="178" t="s">
        <v>290</v>
      </c>
      <c r="G31" s="178">
        <v>2014</v>
      </c>
      <c r="H31" s="178">
        <v>2015</v>
      </c>
    </row>
    <row r="32" spans="2:8" ht="24.75" customHeight="1" x14ac:dyDescent="0.2">
      <c r="B32" s="181" t="s">
        <v>295</v>
      </c>
      <c r="C32" s="182">
        <v>173964</v>
      </c>
      <c r="D32" s="182">
        <v>191730</v>
      </c>
      <c r="F32" s="181" t="s">
        <v>295</v>
      </c>
      <c r="G32" s="182">
        <v>657</v>
      </c>
      <c r="H32" s="182">
        <v>1177</v>
      </c>
    </row>
    <row r="33" spans="2:8" ht="24.75" customHeight="1" x14ac:dyDescent="0.2">
      <c r="B33" s="179" t="s">
        <v>296</v>
      </c>
      <c r="C33" s="180">
        <v>173964</v>
      </c>
      <c r="D33" s="180">
        <v>191730</v>
      </c>
      <c r="F33" s="179" t="s">
        <v>296</v>
      </c>
      <c r="G33" s="180">
        <v>657</v>
      </c>
      <c r="H33" s="180">
        <v>1177</v>
      </c>
    </row>
    <row r="34" spans="2:8" ht="24.75" customHeight="1" x14ac:dyDescent="0.2">
      <c r="B34" s="181" t="s">
        <v>297</v>
      </c>
      <c r="C34" s="182">
        <v>317290</v>
      </c>
      <c r="D34" s="182">
        <v>345386</v>
      </c>
      <c r="F34" s="181" t="s">
        <v>297</v>
      </c>
      <c r="G34" s="182">
        <v>133727</v>
      </c>
      <c r="H34" s="182">
        <v>145760</v>
      </c>
    </row>
    <row r="35" spans="2:8" ht="24.75" customHeight="1" x14ac:dyDescent="0.2">
      <c r="B35" s="181" t="s">
        <v>298</v>
      </c>
      <c r="C35" s="182">
        <v>30952</v>
      </c>
      <c r="D35" s="182">
        <v>24777</v>
      </c>
      <c r="F35" s="181" t="s">
        <v>298</v>
      </c>
      <c r="G35" s="182">
        <v>953</v>
      </c>
      <c r="H35" s="182">
        <v>5268</v>
      </c>
    </row>
    <row r="36" spans="2:8" ht="24.75" customHeight="1" x14ac:dyDescent="0.2">
      <c r="B36" s="181" t="s">
        <v>299</v>
      </c>
      <c r="C36" s="182">
        <v>10770</v>
      </c>
      <c r="D36" s="182">
        <v>2430</v>
      </c>
      <c r="F36" s="181" t="s">
        <v>299</v>
      </c>
      <c r="G36" s="182">
        <v>3041</v>
      </c>
      <c r="H36" s="182">
        <v>2129</v>
      </c>
    </row>
    <row r="37" spans="2:8" ht="24.75" customHeight="1" x14ac:dyDescent="0.2">
      <c r="B37" s="179" t="s">
        <v>300</v>
      </c>
      <c r="C37" s="180">
        <v>359012</v>
      </c>
      <c r="D37" s="180">
        <v>372593</v>
      </c>
      <c r="F37" s="179" t="s">
        <v>300</v>
      </c>
      <c r="G37" s="180">
        <v>137721</v>
      </c>
      <c r="H37" s="180">
        <v>153157</v>
      </c>
    </row>
    <row r="38" spans="2:8" ht="24.75" customHeight="1" x14ac:dyDescent="0.2">
      <c r="B38" s="181" t="s">
        <v>301</v>
      </c>
      <c r="C38" s="182">
        <v>50737</v>
      </c>
      <c r="D38" s="182">
        <v>53671</v>
      </c>
      <c r="F38" s="181" t="s">
        <v>301</v>
      </c>
      <c r="G38" s="182">
        <v>2228</v>
      </c>
      <c r="H38" s="182">
        <v>2599</v>
      </c>
    </row>
    <row r="39" spans="2:8" ht="24.75" customHeight="1" x14ac:dyDescent="0.2">
      <c r="B39" s="181" t="s">
        <v>302</v>
      </c>
      <c r="C39" s="182">
        <v>99198</v>
      </c>
      <c r="D39" s="182">
        <v>92557</v>
      </c>
      <c r="F39" s="181" t="s">
        <v>302</v>
      </c>
      <c r="G39" s="182">
        <v>10416</v>
      </c>
      <c r="H39" s="182">
        <v>12064</v>
      </c>
    </row>
    <row r="40" spans="2:8" ht="24.75" customHeight="1" x14ac:dyDescent="0.2">
      <c r="B40" s="181" t="s">
        <v>303</v>
      </c>
      <c r="C40" s="182">
        <v>0</v>
      </c>
      <c r="D40" s="182">
        <v>1543</v>
      </c>
      <c r="F40" s="179" t="s">
        <v>304</v>
      </c>
      <c r="G40" s="180">
        <v>12644</v>
      </c>
      <c r="H40" s="180">
        <v>14663</v>
      </c>
    </row>
    <row r="41" spans="2:8" ht="24.75" customHeight="1" x14ac:dyDescent="0.2">
      <c r="B41" s="179" t="s">
        <v>304</v>
      </c>
      <c r="C41" s="180">
        <v>149935</v>
      </c>
      <c r="D41" s="180">
        <v>147771</v>
      </c>
      <c r="F41" s="181" t="s">
        <v>305</v>
      </c>
      <c r="G41" s="182">
        <v>94059</v>
      </c>
      <c r="H41" s="182">
        <v>88363</v>
      </c>
    </row>
    <row r="42" spans="2:8" ht="24.75" customHeight="1" x14ac:dyDescent="0.2">
      <c r="B42" s="181" t="s">
        <v>305</v>
      </c>
      <c r="C42" s="182">
        <v>262111</v>
      </c>
      <c r="D42" s="182">
        <v>261494</v>
      </c>
      <c r="F42" s="181" t="s">
        <v>306</v>
      </c>
      <c r="G42" s="182">
        <v>14948</v>
      </c>
      <c r="H42" s="182">
        <v>13122</v>
      </c>
    </row>
    <row r="43" spans="2:8" ht="24.75" customHeight="1" x14ac:dyDescent="0.2">
      <c r="B43" s="181" t="s">
        <v>306</v>
      </c>
      <c r="C43" s="182">
        <v>40289</v>
      </c>
      <c r="D43" s="182">
        <v>38256</v>
      </c>
      <c r="F43" s="181" t="s">
        <v>307</v>
      </c>
      <c r="G43" s="182">
        <v>25811</v>
      </c>
      <c r="H43" s="182">
        <v>27408</v>
      </c>
    </row>
    <row r="44" spans="2:8" ht="24.75" customHeight="1" x14ac:dyDescent="0.2">
      <c r="B44" s="181" t="s">
        <v>307</v>
      </c>
      <c r="C44" s="182">
        <v>74924</v>
      </c>
      <c r="D44" s="182">
        <v>79757</v>
      </c>
      <c r="F44" s="179" t="s">
        <v>308</v>
      </c>
      <c r="G44" s="180">
        <v>134818</v>
      </c>
      <c r="H44" s="180">
        <v>128893</v>
      </c>
    </row>
    <row r="45" spans="2:8" ht="24.75" customHeight="1" x14ac:dyDescent="0.2">
      <c r="B45" s="179" t="s">
        <v>308</v>
      </c>
      <c r="C45" s="180">
        <v>377324</v>
      </c>
      <c r="D45" s="180">
        <v>379507</v>
      </c>
      <c r="F45" s="179" t="s">
        <v>309</v>
      </c>
      <c r="G45" s="180">
        <v>858</v>
      </c>
      <c r="H45" s="180">
        <v>1930</v>
      </c>
    </row>
    <row r="46" spans="2:8" ht="24.75" customHeight="1" x14ac:dyDescent="0.2">
      <c r="B46" s="179" t="s">
        <v>309</v>
      </c>
      <c r="C46" s="180">
        <v>12925</v>
      </c>
      <c r="D46" s="180">
        <v>13885</v>
      </c>
      <c r="F46" s="179" t="s">
        <v>310</v>
      </c>
      <c r="G46" s="180">
        <v>3176</v>
      </c>
      <c r="H46" s="180">
        <v>4894</v>
      </c>
    </row>
    <row r="47" spans="2:8" ht="24.75" customHeight="1" x14ac:dyDescent="0.2">
      <c r="B47" s="179" t="s">
        <v>310</v>
      </c>
      <c r="C47" s="180">
        <v>27441</v>
      </c>
      <c r="D47" s="180">
        <v>25035</v>
      </c>
      <c r="F47" s="179" t="s">
        <v>311</v>
      </c>
      <c r="G47" s="180">
        <v>-13118</v>
      </c>
      <c r="H47" s="180">
        <v>3954</v>
      </c>
    </row>
    <row r="48" spans="2:8" ht="24.75" customHeight="1" x14ac:dyDescent="0.2">
      <c r="B48" s="179" t="s">
        <v>311</v>
      </c>
      <c r="C48" s="180">
        <v>-34649</v>
      </c>
      <c r="D48" s="180">
        <v>-1875</v>
      </c>
      <c r="F48" s="179" t="s">
        <v>315</v>
      </c>
      <c r="G48" s="180">
        <v>-13118</v>
      </c>
      <c r="H48" s="180">
        <v>3954</v>
      </c>
    </row>
    <row r="49" spans="2:8" ht="24.75" customHeight="1" x14ac:dyDescent="0.2">
      <c r="B49" s="179" t="s">
        <v>315</v>
      </c>
      <c r="C49" s="180">
        <v>-34649</v>
      </c>
      <c r="D49" s="180">
        <v>-1875</v>
      </c>
      <c r="F49" s="179" t="s">
        <v>318</v>
      </c>
      <c r="G49" s="180">
        <v>-13118</v>
      </c>
      <c r="H49" s="180">
        <v>3954</v>
      </c>
    </row>
    <row r="50" spans="2:8" ht="24.75" customHeight="1" x14ac:dyDescent="0.2">
      <c r="B50" s="179" t="s">
        <v>318</v>
      </c>
      <c r="C50" s="180">
        <v>-34649</v>
      </c>
      <c r="D50" s="180">
        <v>-1875</v>
      </c>
      <c r="F50" s="183"/>
      <c r="G50" s="184"/>
      <c r="H50" s="184"/>
    </row>
    <row r="51" spans="2:8" ht="24.75" customHeight="1" x14ac:dyDescent="0.2">
      <c r="F51" s="183"/>
      <c r="G51" s="184"/>
      <c r="H51" s="184"/>
    </row>
    <row r="52" spans="2:8" ht="24.75" customHeight="1" x14ac:dyDescent="0.2">
      <c r="F52" s="183"/>
      <c r="G52" s="184"/>
      <c r="H52" s="184"/>
    </row>
    <row r="53" spans="2:8" ht="24.75" customHeight="1" x14ac:dyDescent="0.2">
      <c r="F53" s="183"/>
      <c r="G53" s="184"/>
      <c r="H53" s="184"/>
    </row>
    <row r="54" spans="2:8" ht="24.75" customHeight="1" x14ac:dyDescent="0.2">
      <c r="F54" s="183"/>
      <c r="G54" s="184"/>
      <c r="H54" s="18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4"/>
  <sheetViews>
    <sheetView workbookViewId="0">
      <selection activeCell="E37" sqref="E37"/>
    </sheetView>
  </sheetViews>
  <sheetFormatPr defaultRowHeight="14.25" x14ac:dyDescent="0.2"/>
  <cols>
    <col min="2" max="2" width="37.5" customWidth="1"/>
    <col min="3" max="3" width="18" customWidth="1"/>
    <col min="5" max="5" width="37.5" customWidth="1"/>
    <col min="6" max="6" width="11.625" customWidth="1"/>
  </cols>
  <sheetData>
    <row r="1" spans="2:6" x14ac:dyDescent="0.2">
      <c r="E1" t="s">
        <v>385</v>
      </c>
    </row>
    <row r="3" spans="2:6" ht="24.95" customHeight="1" x14ac:dyDescent="0.2">
      <c r="B3" s="178" t="s">
        <v>320</v>
      </c>
      <c r="C3" s="178" t="s">
        <v>321</v>
      </c>
      <c r="E3" s="178" t="s">
        <v>333</v>
      </c>
      <c r="F3" s="178" t="s">
        <v>321</v>
      </c>
    </row>
    <row r="4" spans="2:6" ht="24.95" customHeight="1" x14ac:dyDescent="0.2">
      <c r="B4" s="178" t="s">
        <v>322</v>
      </c>
      <c r="C4" s="178" t="s">
        <v>323</v>
      </c>
      <c r="E4" s="178" t="s">
        <v>319</v>
      </c>
      <c r="F4" s="178" t="s">
        <v>323</v>
      </c>
    </row>
    <row r="5" spans="2:6" ht="24.95" customHeight="1" x14ac:dyDescent="0.2">
      <c r="B5" s="181" t="s">
        <v>324</v>
      </c>
      <c r="C5" s="182">
        <v>785213</v>
      </c>
      <c r="E5" s="181" t="s">
        <v>324</v>
      </c>
      <c r="F5" s="182">
        <v>543460</v>
      </c>
    </row>
    <row r="6" spans="2:6" ht="24.95" customHeight="1" x14ac:dyDescent="0.2">
      <c r="B6" s="181" t="s">
        <v>325</v>
      </c>
      <c r="C6" s="182">
        <v>728650</v>
      </c>
      <c r="E6" s="181" t="s">
        <v>325</v>
      </c>
      <c r="F6" s="182">
        <v>17748</v>
      </c>
    </row>
    <row r="7" spans="2:6" ht="24.95" customHeight="1" x14ac:dyDescent="0.2">
      <c r="B7" s="179" t="s">
        <v>326</v>
      </c>
      <c r="C7" s="180">
        <v>56563</v>
      </c>
      <c r="E7" s="179" t="s">
        <v>326</v>
      </c>
      <c r="F7" s="180">
        <v>525712</v>
      </c>
    </row>
    <row r="8" spans="2:6" ht="24.95" customHeight="1" x14ac:dyDescent="0.2">
      <c r="B8" s="181" t="s">
        <v>327</v>
      </c>
      <c r="C8" s="182">
        <v>495656</v>
      </c>
      <c r="E8" s="181" t="s">
        <v>327</v>
      </c>
      <c r="F8" s="182">
        <v>3258</v>
      </c>
    </row>
    <row r="9" spans="2:6" ht="24.95" customHeight="1" x14ac:dyDescent="0.2">
      <c r="B9" s="181" t="s">
        <v>328</v>
      </c>
      <c r="C9" s="182">
        <v>491146</v>
      </c>
      <c r="E9" s="181" t="s">
        <v>328</v>
      </c>
      <c r="F9" s="182">
        <v>491146</v>
      </c>
    </row>
    <row r="10" spans="2:6" ht="24.95" customHeight="1" x14ac:dyDescent="0.2">
      <c r="B10" s="179" t="s">
        <v>329</v>
      </c>
      <c r="C10" s="180">
        <v>4510</v>
      </c>
      <c r="E10" s="179" t="s">
        <v>329</v>
      </c>
      <c r="F10" s="180">
        <v>-487888</v>
      </c>
    </row>
    <row r="11" spans="2:6" ht="24.95" customHeight="1" x14ac:dyDescent="0.2">
      <c r="B11" s="179" t="s">
        <v>330</v>
      </c>
      <c r="C11" s="180">
        <v>61073</v>
      </c>
      <c r="E11" s="179" t="s">
        <v>330</v>
      </c>
      <c r="F11" s="180">
        <v>37824</v>
      </c>
    </row>
    <row r="12" spans="2:6" ht="24.95" customHeight="1" x14ac:dyDescent="0.2">
      <c r="B12" s="179" t="s">
        <v>331</v>
      </c>
      <c r="C12" s="180">
        <v>61073</v>
      </c>
      <c r="E12" s="179" t="s">
        <v>331</v>
      </c>
      <c r="F12" s="180">
        <v>37824</v>
      </c>
    </row>
    <row r="13" spans="2:6" ht="24.95" customHeight="1" x14ac:dyDescent="0.2">
      <c r="B13" s="179" t="s">
        <v>332</v>
      </c>
      <c r="C13" s="180">
        <v>61073</v>
      </c>
      <c r="E13" s="179" t="s">
        <v>332</v>
      </c>
      <c r="F13" s="180">
        <v>37824</v>
      </c>
    </row>
    <row r="15" spans="2:6" ht="15" x14ac:dyDescent="0.2">
      <c r="B15" s="178" t="s">
        <v>334</v>
      </c>
      <c r="C15" s="178" t="s">
        <v>321</v>
      </c>
      <c r="E15" s="178" t="s">
        <v>334</v>
      </c>
      <c r="F15" s="178" t="s">
        <v>321</v>
      </c>
    </row>
    <row r="16" spans="2:6" ht="15" x14ac:dyDescent="0.2">
      <c r="B16" s="178" t="s">
        <v>289</v>
      </c>
      <c r="C16" s="178" t="s">
        <v>323</v>
      </c>
      <c r="E16" s="178" t="s">
        <v>290</v>
      </c>
      <c r="F16" s="178" t="s">
        <v>323</v>
      </c>
    </row>
    <row r="17" spans="2:6" ht="24.95" customHeight="1" x14ac:dyDescent="0.2">
      <c r="B17" s="181" t="s">
        <v>324</v>
      </c>
      <c r="C17" s="182">
        <v>233180</v>
      </c>
      <c r="E17" s="181" t="s">
        <v>324</v>
      </c>
      <c r="F17" s="182">
        <v>8573</v>
      </c>
    </row>
    <row r="18" spans="2:6" ht="24.95" customHeight="1" x14ac:dyDescent="0.2">
      <c r="B18" s="181" t="s">
        <v>325</v>
      </c>
      <c r="C18" s="182">
        <v>560382</v>
      </c>
      <c r="E18" s="181" t="s">
        <v>325</v>
      </c>
      <c r="F18" s="182">
        <v>150520</v>
      </c>
    </row>
    <row r="19" spans="2:6" ht="24.95" customHeight="1" x14ac:dyDescent="0.2">
      <c r="B19" s="179" t="s">
        <v>326</v>
      </c>
      <c r="C19" s="180">
        <v>-327202</v>
      </c>
      <c r="E19" s="179" t="s">
        <v>326</v>
      </c>
      <c r="F19" s="180">
        <v>-141947</v>
      </c>
    </row>
    <row r="20" spans="2:6" ht="24.95" customHeight="1" x14ac:dyDescent="0.2">
      <c r="B20" s="181" t="s">
        <v>327</v>
      </c>
      <c r="C20" s="182">
        <v>346223</v>
      </c>
      <c r="E20" s="181" t="s">
        <v>327</v>
      </c>
      <c r="F20" s="182">
        <v>146175</v>
      </c>
    </row>
    <row r="21" spans="2:6" ht="24.95" customHeight="1" x14ac:dyDescent="0.2">
      <c r="B21" s="179" t="s">
        <v>329</v>
      </c>
      <c r="C21" s="180">
        <v>346223</v>
      </c>
      <c r="E21" s="179" t="s">
        <v>329</v>
      </c>
      <c r="F21" s="180">
        <v>146175</v>
      </c>
    </row>
    <row r="22" spans="2:6" ht="24.95" customHeight="1" x14ac:dyDescent="0.2">
      <c r="B22" s="179" t="s">
        <v>330</v>
      </c>
      <c r="C22" s="180">
        <v>19021</v>
      </c>
      <c r="E22" s="179" t="s">
        <v>330</v>
      </c>
      <c r="F22" s="180">
        <v>4228</v>
      </c>
    </row>
    <row r="23" spans="2:6" ht="24.95" customHeight="1" x14ac:dyDescent="0.2">
      <c r="B23" s="179" t="s">
        <v>331</v>
      </c>
      <c r="C23" s="180">
        <v>19021</v>
      </c>
      <c r="E23" s="179" t="s">
        <v>331</v>
      </c>
      <c r="F23" s="180">
        <v>4228</v>
      </c>
    </row>
    <row r="24" spans="2:6" ht="24.95" customHeight="1" x14ac:dyDescent="0.2">
      <c r="B24" s="179" t="s">
        <v>332</v>
      </c>
      <c r="C24" s="180">
        <v>19021</v>
      </c>
      <c r="E24" s="179" t="s">
        <v>332</v>
      </c>
      <c r="F24" s="180">
        <v>4228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opLeftCell="A52" workbookViewId="0">
      <selection activeCell="A53" sqref="A53"/>
    </sheetView>
  </sheetViews>
  <sheetFormatPr defaultRowHeight="14.25" x14ac:dyDescent="0.2"/>
  <cols>
    <col min="1" max="1" width="31.875" customWidth="1"/>
    <col min="2" max="2" width="12.875" customWidth="1"/>
    <col min="3" max="3" width="14" customWidth="1"/>
    <col min="4" max="4" width="12.25" customWidth="1"/>
    <col min="5" max="5" width="14" customWidth="1"/>
    <col min="6" max="6" width="13.5" customWidth="1"/>
    <col min="7" max="7" width="38.75" customWidth="1"/>
    <col min="8" max="18" width="12.875" customWidth="1"/>
  </cols>
  <sheetData>
    <row r="1" spans="1:18" ht="15" x14ac:dyDescent="0.25">
      <c r="A1" s="217" t="s">
        <v>386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</row>
    <row r="2" spans="1:18" ht="141" customHeight="1" x14ac:dyDescent="0.2">
      <c r="A2" s="178" t="s">
        <v>319</v>
      </c>
      <c r="B2" s="178" t="s">
        <v>335</v>
      </c>
      <c r="C2" s="178" t="s">
        <v>336</v>
      </c>
      <c r="D2" s="178" t="s">
        <v>337</v>
      </c>
      <c r="E2" s="178" t="s">
        <v>338</v>
      </c>
      <c r="G2" s="178" t="s">
        <v>289</v>
      </c>
      <c r="H2" s="178" t="s">
        <v>336</v>
      </c>
      <c r="I2" s="178" t="s">
        <v>360</v>
      </c>
      <c r="J2" s="178" t="s">
        <v>361</v>
      </c>
      <c r="K2" s="178" t="s">
        <v>362</v>
      </c>
      <c r="L2" s="178" t="s">
        <v>363</v>
      </c>
      <c r="M2" s="178" t="s">
        <v>364</v>
      </c>
      <c r="N2" s="178" t="s">
        <v>365</v>
      </c>
      <c r="O2" s="178" t="s">
        <v>366</v>
      </c>
      <c r="P2" s="178" t="s">
        <v>367</v>
      </c>
      <c r="Q2" s="178" t="s">
        <v>368</v>
      </c>
      <c r="R2" s="178" t="s">
        <v>369</v>
      </c>
    </row>
    <row r="3" spans="1:18" ht="24.95" customHeight="1" x14ac:dyDescent="0.2">
      <c r="A3" s="179" t="s">
        <v>339</v>
      </c>
      <c r="B3" s="180">
        <v>190</v>
      </c>
      <c r="C3" s="180">
        <v>0</v>
      </c>
      <c r="D3" s="180">
        <v>0</v>
      </c>
      <c r="E3" s="180">
        <v>0</v>
      </c>
      <c r="G3" s="179" t="s">
        <v>339</v>
      </c>
      <c r="H3" s="180">
        <v>0</v>
      </c>
      <c r="I3" s="180">
        <v>16263</v>
      </c>
      <c r="J3" s="180">
        <v>105872</v>
      </c>
      <c r="K3" s="180">
        <v>43668</v>
      </c>
      <c r="L3" s="180">
        <v>34675</v>
      </c>
      <c r="M3" s="180">
        <v>19983</v>
      </c>
      <c r="N3" s="180">
        <v>6906</v>
      </c>
      <c r="O3" s="180">
        <v>9725</v>
      </c>
      <c r="P3" s="180">
        <v>6172</v>
      </c>
      <c r="Q3" s="180">
        <v>44452</v>
      </c>
      <c r="R3" s="180">
        <v>4968</v>
      </c>
    </row>
    <row r="4" spans="1:18" ht="24.95" customHeight="1" x14ac:dyDescent="0.2">
      <c r="A4" s="179" t="s">
        <v>340</v>
      </c>
      <c r="B4" s="180">
        <v>88</v>
      </c>
      <c r="C4" s="180">
        <v>0</v>
      </c>
      <c r="D4" s="180">
        <v>0</v>
      </c>
      <c r="E4" s="180">
        <v>0</v>
      </c>
      <c r="G4" s="179" t="s">
        <v>340</v>
      </c>
      <c r="H4" s="180">
        <v>0</v>
      </c>
      <c r="I4" s="180">
        <v>4446</v>
      </c>
      <c r="J4" s="180">
        <v>28382</v>
      </c>
      <c r="K4" s="180">
        <v>11842</v>
      </c>
      <c r="L4" s="180">
        <v>9320</v>
      </c>
      <c r="M4" s="180">
        <v>5242</v>
      </c>
      <c r="N4" s="180">
        <v>1866</v>
      </c>
      <c r="O4" s="180">
        <v>1271</v>
      </c>
      <c r="P4" s="180">
        <v>1658</v>
      </c>
      <c r="Q4" s="180">
        <v>11968</v>
      </c>
      <c r="R4" s="180">
        <v>1348</v>
      </c>
    </row>
    <row r="5" spans="1:18" ht="24.95" customHeight="1" x14ac:dyDescent="0.2">
      <c r="A5" s="179" t="s">
        <v>341</v>
      </c>
      <c r="B5" s="180">
        <v>68</v>
      </c>
      <c r="C5" s="180">
        <v>0</v>
      </c>
      <c r="D5" s="180">
        <v>0</v>
      </c>
      <c r="E5" s="180">
        <v>0</v>
      </c>
      <c r="G5" s="179" t="s">
        <v>370</v>
      </c>
      <c r="H5" s="180">
        <v>0</v>
      </c>
      <c r="I5" s="180">
        <v>2297</v>
      </c>
      <c r="J5" s="180">
        <v>27037</v>
      </c>
      <c r="K5" s="180">
        <v>14555</v>
      </c>
      <c r="L5" s="180">
        <v>3300</v>
      </c>
      <c r="M5" s="180">
        <v>1639</v>
      </c>
      <c r="N5" s="180">
        <v>847</v>
      </c>
      <c r="O5" s="180">
        <v>332</v>
      </c>
      <c r="P5" s="180">
        <v>2569</v>
      </c>
      <c r="Q5" s="180">
        <v>1351</v>
      </c>
      <c r="R5" s="180">
        <v>4</v>
      </c>
    </row>
    <row r="6" spans="1:18" ht="24.95" customHeight="1" x14ac:dyDescent="0.2">
      <c r="A6" s="179" t="s">
        <v>342</v>
      </c>
      <c r="B6" s="180">
        <v>8735</v>
      </c>
      <c r="C6" s="180">
        <v>0</v>
      </c>
      <c r="D6" s="180">
        <v>0</v>
      </c>
      <c r="E6" s="180">
        <v>0</v>
      </c>
      <c r="G6" s="179" t="s">
        <v>341</v>
      </c>
      <c r="H6" s="180">
        <v>0</v>
      </c>
      <c r="I6" s="180">
        <v>416</v>
      </c>
      <c r="J6" s="180">
        <v>1206</v>
      </c>
      <c r="K6" s="180">
        <v>590</v>
      </c>
      <c r="L6" s="180">
        <v>651</v>
      </c>
      <c r="M6" s="180">
        <v>169</v>
      </c>
      <c r="N6" s="180">
        <v>137</v>
      </c>
      <c r="O6" s="180">
        <v>1</v>
      </c>
      <c r="P6" s="180">
        <v>219</v>
      </c>
      <c r="Q6" s="180">
        <v>890</v>
      </c>
      <c r="R6" s="180">
        <v>79</v>
      </c>
    </row>
    <row r="7" spans="1:18" ht="24.95" customHeight="1" x14ac:dyDescent="0.2">
      <c r="A7" s="179" t="s">
        <v>343</v>
      </c>
      <c r="B7" s="180">
        <v>54</v>
      </c>
      <c r="C7" s="180">
        <v>0</v>
      </c>
      <c r="D7" s="180">
        <v>0</v>
      </c>
      <c r="E7" s="180">
        <v>0</v>
      </c>
      <c r="G7" s="179" t="s">
        <v>342</v>
      </c>
      <c r="H7" s="180">
        <v>0</v>
      </c>
      <c r="I7" s="180">
        <v>3162</v>
      </c>
      <c r="J7" s="180">
        <v>19638</v>
      </c>
      <c r="K7" s="180">
        <v>7362</v>
      </c>
      <c r="L7" s="180">
        <v>3973</v>
      </c>
      <c r="M7" s="180">
        <v>3798</v>
      </c>
      <c r="N7" s="180">
        <v>1527</v>
      </c>
      <c r="O7" s="180">
        <v>292</v>
      </c>
      <c r="P7" s="180">
        <v>44666</v>
      </c>
      <c r="Q7" s="180">
        <v>1354</v>
      </c>
      <c r="R7" s="180">
        <v>4497</v>
      </c>
    </row>
    <row r="8" spans="1:18" ht="24.95" customHeight="1" x14ac:dyDescent="0.2">
      <c r="A8" s="181" t="s">
        <v>344</v>
      </c>
      <c r="B8" s="182">
        <v>430</v>
      </c>
      <c r="C8" s="182">
        <v>0</v>
      </c>
      <c r="D8" s="182">
        <v>0</v>
      </c>
      <c r="E8" s="182">
        <v>0</v>
      </c>
      <c r="G8" s="179" t="s">
        <v>343</v>
      </c>
      <c r="H8" s="180">
        <v>0</v>
      </c>
      <c r="I8" s="180">
        <v>28</v>
      </c>
      <c r="J8" s="180">
        <v>136</v>
      </c>
      <c r="K8" s="180">
        <v>51</v>
      </c>
      <c r="L8" s="180">
        <v>43</v>
      </c>
      <c r="M8" s="180">
        <v>6</v>
      </c>
      <c r="N8" s="180">
        <v>2</v>
      </c>
      <c r="O8" s="180">
        <v>0</v>
      </c>
      <c r="P8" s="180">
        <v>9</v>
      </c>
      <c r="Q8" s="180">
        <v>51</v>
      </c>
      <c r="R8" s="180">
        <v>0</v>
      </c>
    </row>
    <row r="9" spans="1:18" ht="24.95" customHeight="1" x14ac:dyDescent="0.2">
      <c r="A9" s="181" t="s">
        <v>345</v>
      </c>
      <c r="B9" s="182">
        <v>872</v>
      </c>
      <c r="C9" s="182">
        <v>0</v>
      </c>
      <c r="D9" s="182">
        <v>0</v>
      </c>
      <c r="E9" s="182">
        <v>0</v>
      </c>
      <c r="G9" s="181" t="s">
        <v>344</v>
      </c>
      <c r="H9" s="182">
        <v>0</v>
      </c>
      <c r="I9" s="182">
        <v>1403</v>
      </c>
      <c r="J9" s="182">
        <v>9330</v>
      </c>
      <c r="K9" s="182">
        <v>4744</v>
      </c>
      <c r="L9" s="182">
        <v>1883</v>
      </c>
      <c r="M9" s="182">
        <v>929</v>
      </c>
      <c r="N9" s="182">
        <v>547</v>
      </c>
      <c r="O9" s="182">
        <v>111</v>
      </c>
      <c r="P9" s="182">
        <v>12687</v>
      </c>
      <c r="Q9" s="182">
        <v>762</v>
      </c>
      <c r="R9" s="182">
        <v>1241</v>
      </c>
    </row>
    <row r="10" spans="1:18" ht="24.95" customHeight="1" x14ac:dyDescent="0.2">
      <c r="A10" s="179" t="s">
        <v>346</v>
      </c>
      <c r="B10" s="180">
        <v>1302</v>
      </c>
      <c r="C10" s="180">
        <v>0</v>
      </c>
      <c r="D10" s="180">
        <v>0</v>
      </c>
      <c r="E10" s="180">
        <v>0</v>
      </c>
      <c r="G10" s="181" t="s">
        <v>345</v>
      </c>
      <c r="H10" s="182">
        <v>0</v>
      </c>
      <c r="I10" s="182">
        <v>2</v>
      </c>
      <c r="J10" s="182">
        <v>155</v>
      </c>
      <c r="K10" s="182">
        <v>12</v>
      </c>
      <c r="L10" s="182">
        <v>3</v>
      </c>
      <c r="M10" s="182">
        <v>1</v>
      </c>
      <c r="N10" s="182">
        <v>0</v>
      </c>
      <c r="O10" s="182">
        <v>33</v>
      </c>
      <c r="P10" s="182">
        <v>232</v>
      </c>
      <c r="Q10" s="182">
        <v>72</v>
      </c>
      <c r="R10" s="182">
        <v>0</v>
      </c>
    </row>
    <row r="11" spans="1:18" ht="24.95" customHeight="1" x14ac:dyDescent="0.2">
      <c r="A11" s="179" t="s">
        <v>347</v>
      </c>
      <c r="B11" s="180">
        <v>10159</v>
      </c>
      <c r="C11" s="180">
        <v>0</v>
      </c>
      <c r="D11" s="180">
        <v>0</v>
      </c>
      <c r="E11" s="180">
        <v>0</v>
      </c>
      <c r="G11" s="179" t="s">
        <v>346</v>
      </c>
      <c r="H11" s="180">
        <v>0</v>
      </c>
      <c r="I11" s="180">
        <v>1405</v>
      </c>
      <c r="J11" s="180">
        <v>9485</v>
      </c>
      <c r="K11" s="180">
        <v>4756</v>
      </c>
      <c r="L11" s="180">
        <v>1886</v>
      </c>
      <c r="M11" s="180">
        <v>930</v>
      </c>
      <c r="N11" s="180">
        <v>547</v>
      </c>
      <c r="O11" s="180">
        <v>144</v>
      </c>
      <c r="P11" s="180">
        <v>12919</v>
      </c>
      <c r="Q11" s="180">
        <v>834</v>
      </c>
      <c r="R11" s="180">
        <v>1241</v>
      </c>
    </row>
    <row r="12" spans="1:18" ht="24.95" customHeight="1" x14ac:dyDescent="0.2">
      <c r="A12" s="181" t="s">
        <v>348</v>
      </c>
      <c r="B12" s="182">
        <v>0</v>
      </c>
      <c r="C12" s="182">
        <v>2120</v>
      </c>
      <c r="D12" s="182">
        <v>0</v>
      </c>
      <c r="E12" s="182">
        <v>0</v>
      </c>
      <c r="G12" s="179" t="s">
        <v>347</v>
      </c>
      <c r="H12" s="180">
        <v>0</v>
      </c>
      <c r="I12" s="180">
        <v>7308</v>
      </c>
      <c r="J12" s="180">
        <v>57502</v>
      </c>
      <c r="K12" s="180">
        <v>27314</v>
      </c>
      <c r="L12" s="180">
        <v>9853</v>
      </c>
      <c r="M12" s="180">
        <v>6542</v>
      </c>
      <c r="N12" s="180">
        <v>3060</v>
      </c>
      <c r="O12" s="180">
        <v>769</v>
      </c>
      <c r="P12" s="180">
        <v>60382</v>
      </c>
      <c r="Q12" s="180">
        <v>4480</v>
      </c>
      <c r="R12" s="180">
        <v>5821</v>
      </c>
    </row>
    <row r="13" spans="1:18" ht="24.95" customHeight="1" x14ac:dyDescent="0.2">
      <c r="A13" s="179" t="s">
        <v>349</v>
      </c>
      <c r="B13" s="180">
        <v>0</v>
      </c>
      <c r="C13" s="180">
        <v>2120</v>
      </c>
      <c r="D13" s="180">
        <v>0</v>
      </c>
      <c r="E13" s="180">
        <v>0</v>
      </c>
      <c r="G13" s="181" t="s">
        <v>371</v>
      </c>
      <c r="H13" s="182">
        <v>0</v>
      </c>
      <c r="I13" s="182">
        <v>118</v>
      </c>
      <c r="J13" s="182">
        <v>242</v>
      </c>
      <c r="K13" s="182">
        <v>101</v>
      </c>
      <c r="L13" s="182">
        <v>0</v>
      </c>
      <c r="M13" s="182">
        <v>355</v>
      </c>
      <c r="N13" s="182">
        <v>0</v>
      </c>
      <c r="O13" s="182">
        <v>0</v>
      </c>
      <c r="P13" s="182">
        <v>0</v>
      </c>
      <c r="Q13" s="182">
        <v>0</v>
      </c>
      <c r="R13" s="182">
        <v>0</v>
      </c>
    </row>
    <row r="14" spans="1:18" ht="24.95" customHeight="1" x14ac:dyDescent="0.2">
      <c r="A14" s="181" t="s">
        <v>350</v>
      </c>
      <c r="B14" s="182">
        <v>0</v>
      </c>
      <c r="C14" s="182">
        <v>0</v>
      </c>
      <c r="D14" s="182">
        <v>2564</v>
      </c>
      <c r="E14" s="182">
        <v>0</v>
      </c>
      <c r="G14" s="179" t="s">
        <v>372</v>
      </c>
      <c r="H14" s="180">
        <v>0</v>
      </c>
      <c r="I14" s="180">
        <v>118</v>
      </c>
      <c r="J14" s="180">
        <v>242</v>
      </c>
      <c r="K14" s="180">
        <v>101</v>
      </c>
      <c r="L14" s="180">
        <v>0</v>
      </c>
      <c r="M14" s="180">
        <v>355</v>
      </c>
      <c r="N14" s="180">
        <v>0</v>
      </c>
      <c r="O14" s="180">
        <v>0</v>
      </c>
      <c r="P14" s="180">
        <v>0</v>
      </c>
      <c r="Q14" s="180">
        <v>0</v>
      </c>
      <c r="R14" s="180">
        <v>0</v>
      </c>
    </row>
    <row r="15" spans="1:18" ht="24.95" customHeight="1" x14ac:dyDescent="0.2">
      <c r="A15" s="181" t="s">
        <v>351</v>
      </c>
      <c r="B15" s="182">
        <v>0</v>
      </c>
      <c r="C15" s="182">
        <v>0</v>
      </c>
      <c r="D15" s="182">
        <v>0</v>
      </c>
      <c r="E15" s="182">
        <v>800</v>
      </c>
      <c r="G15" s="181" t="s">
        <v>348</v>
      </c>
      <c r="H15" s="182">
        <v>344</v>
      </c>
      <c r="I15" s="182">
        <v>0</v>
      </c>
      <c r="J15" s="182">
        <v>0</v>
      </c>
      <c r="K15" s="182">
        <v>0</v>
      </c>
      <c r="L15" s="182">
        <v>0</v>
      </c>
      <c r="M15" s="182">
        <v>0</v>
      </c>
      <c r="N15" s="182">
        <v>0</v>
      </c>
      <c r="O15" s="182">
        <v>0</v>
      </c>
      <c r="P15" s="182">
        <v>0</v>
      </c>
      <c r="Q15" s="182">
        <v>0</v>
      </c>
      <c r="R15" s="182">
        <v>0</v>
      </c>
    </row>
    <row r="16" spans="1:18" ht="24.95" customHeight="1" x14ac:dyDescent="0.2">
      <c r="A16" s="179" t="s">
        <v>352</v>
      </c>
      <c r="B16" s="180">
        <v>0</v>
      </c>
      <c r="C16" s="180">
        <v>2120</v>
      </c>
      <c r="D16" s="180">
        <v>2564</v>
      </c>
      <c r="E16" s="180">
        <v>800</v>
      </c>
      <c r="G16" s="179" t="s">
        <v>349</v>
      </c>
      <c r="H16" s="180">
        <v>344</v>
      </c>
      <c r="I16" s="180">
        <v>0</v>
      </c>
      <c r="J16" s="180">
        <v>0</v>
      </c>
      <c r="K16" s="180">
        <v>0</v>
      </c>
      <c r="L16" s="180">
        <v>0</v>
      </c>
      <c r="M16" s="180">
        <v>0</v>
      </c>
      <c r="N16" s="180">
        <v>0</v>
      </c>
      <c r="O16" s="180">
        <v>0</v>
      </c>
      <c r="P16" s="180">
        <v>0</v>
      </c>
      <c r="Q16" s="180">
        <v>0</v>
      </c>
      <c r="R16" s="180">
        <v>0</v>
      </c>
    </row>
    <row r="17" spans="1:18" ht="24.95" customHeight="1" x14ac:dyDescent="0.2">
      <c r="A17" s="181" t="s">
        <v>353</v>
      </c>
      <c r="B17" s="182">
        <v>0</v>
      </c>
      <c r="C17" s="182">
        <v>0</v>
      </c>
      <c r="D17" s="182">
        <v>0</v>
      </c>
      <c r="E17" s="182">
        <v>1827</v>
      </c>
      <c r="G17" s="179" t="s">
        <v>352</v>
      </c>
      <c r="H17" s="180">
        <v>344</v>
      </c>
      <c r="I17" s="180">
        <v>0</v>
      </c>
      <c r="J17" s="180">
        <v>0</v>
      </c>
      <c r="K17" s="180">
        <v>0</v>
      </c>
      <c r="L17" s="180">
        <v>0</v>
      </c>
      <c r="M17" s="180">
        <v>0</v>
      </c>
      <c r="N17" s="180">
        <v>0</v>
      </c>
      <c r="O17" s="180">
        <v>0</v>
      </c>
      <c r="P17" s="180">
        <v>0</v>
      </c>
      <c r="Q17" s="180">
        <v>0</v>
      </c>
      <c r="R17" s="180">
        <v>0</v>
      </c>
    </row>
    <row r="18" spans="1:18" ht="24.95" customHeight="1" x14ac:dyDescent="0.2">
      <c r="A18" s="179" t="s">
        <v>354</v>
      </c>
      <c r="B18" s="180">
        <v>0</v>
      </c>
      <c r="C18" s="180">
        <v>0</v>
      </c>
      <c r="D18" s="180">
        <v>0</v>
      </c>
      <c r="E18" s="180">
        <v>1827</v>
      </c>
      <c r="G18" s="181" t="s">
        <v>373</v>
      </c>
      <c r="H18" s="182">
        <v>0</v>
      </c>
      <c r="I18" s="182">
        <v>0</v>
      </c>
      <c r="J18" s="182">
        <v>304</v>
      </c>
      <c r="K18" s="182">
        <v>0</v>
      </c>
      <c r="L18" s="182">
        <v>0</v>
      </c>
      <c r="M18" s="182">
        <v>0</v>
      </c>
      <c r="N18" s="182">
        <v>0</v>
      </c>
      <c r="O18" s="182">
        <v>0</v>
      </c>
      <c r="P18" s="182">
        <v>0</v>
      </c>
      <c r="Q18" s="182">
        <v>16</v>
      </c>
      <c r="R18" s="182">
        <v>0</v>
      </c>
    </row>
    <row r="19" spans="1:18" ht="24.95" customHeight="1" x14ac:dyDescent="0.2">
      <c r="A19" s="179" t="s">
        <v>355</v>
      </c>
      <c r="B19" s="180">
        <v>10437</v>
      </c>
      <c r="C19" s="180">
        <v>2120</v>
      </c>
      <c r="D19" s="180">
        <v>2564</v>
      </c>
      <c r="E19" s="180">
        <v>2627</v>
      </c>
      <c r="G19" s="181" t="s">
        <v>374</v>
      </c>
      <c r="H19" s="182">
        <v>0</v>
      </c>
      <c r="I19" s="182">
        <v>128</v>
      </c>
      <c r="J19" s="182">
        <v>526</v>
      </c>
      <c r="K19" s="182">
        <v>892</v>
      </c>
      <c r="L19" s="182">
        <v>128</v>
      </c>
      <c r="M19" s="182">
        <v>331</v>
      </c>
      <c r="N19" s="182">
        <v>0</v>
      </c>
      <c r="O19" s="182">
        <v>25</v>
      </c>
      <c r="P19" s="182">
        <v>0</v>
      </c>
      <c r="Q19" s="182">
        <v>193</v>
      </c>
      <c r="R19" s="182">
        <v>0</v>
      </c>
    </row>
    <row r="20" spans="1:18" ht="24.95" customHeight="1" x14ac:dyDescent="0.2">
      <c r="A20" s="181" t="s">
        <v>356</v>
      </c>
      <c r="B20" s="182">
        <v>0</v>
      </c>
      <c r="C20" s="182">
        <v>491146</v>
      </c>
      <c r="D20" s="182">
        <v>0</v>
      </c>
      <c r="E20" s="182">
        <v>0</v>
      </c>
      <c r="G20" s="181" t="s">
        <v>375</v>
      </c>
      <c r="H20" s="182">
        <v>0</v>
      </c>
      <c r="I20" s="182">
        <v>34</v>
      </c>
      <c r="J20" s="182">
        <v>217</v>
      </c>
      <c r="K20" s="182">
        <v>241</v>
      </c>
      <c r="L20" s="182">
        <v>34</v>
      </c>
      <c r="M20" s="182">
        <v>89</v>
      </c>
      <c r="N20" s="182">
        <v>0</v>
      </c>
      <c r="O20" s="182">
        <v>7</v>
      </c>
      <c r="P20" s="182">
        <v>0</v>
      </c>
      <c r="Q20" s="182">
        <v>57</v>
      </c>
      <c r="R20" s="182">
        <v>0</v>
      </c>
    </row>
    <row r="21" spans="1:18" ht="24.95" customHeight="1" x14ac:dyDescent="0.2">
      <c r="A21" s="179" t="s">
        <v>357</v>
      </c>
      <c r="B21" s="180">
        <v>0</v>
      </c>
      <c r="C21" s="180">
        <v>491146</v>
      </c>
      <c r="D21" s="180">
        <v>0</v>
      </c>
      <c r="E21" s="180">
        <v>0</v>
      </c>
      <c r="G21" s="179" t="s">
        <v>376</v>
      </c>
      <c r="H21" s="180">
        <v>0</v>
      </c>
      <c r="I21" s="180">
        <v>162</v>
      </c>
      <c r="J21" s="180">
        <v>1047</v>
      </c>
      <c r="K21" s="180">
        <v>1133</v>
      </c>
      <c r="L21" s="180">
        <v>162</v>
      </c>
      <c r="M21" s="180">
        <v>420</v>
      </c>
      <c r="N21" s="180">
        <v>0</v>
      </c>
      <c r="O21" s="180">
        <v>32</v>
      </c>
      <c r="P21" s="180">
        <v>0</v>
      </c>
      <c r="Q21" s="180">
        <v>266</v>
      </c>
      <c r="R21" s="180">
        <v>0</v>
      </c>
    </row>
    <row r="22" spans="1:18" ht="24.95" customHeight="1" x14ac:dyDescent="0.2">
      <c r="A22" s="179" t="s">
        <v>358</v>
      </c>
      <c r="B22" s="180">
        <v>0</v>
      </c>
      <c r="C22" s="180">
        <v>491146</v>
      </c>
      <c r="D22" s="180">
        <v>0</v>
      </c>
      <c r="E22" s="180">
        <v>0</v>
      </c>
      <c r="G22" s="181" t="s">
        <v>377</v>
      </c>
      <c r="H22" s="182">
        <v>0</v>
      </c>
      <c r="I22" s="182">
        <v>118</v>
      </c>
      <c r="J22" s="182">
        <v>332</v>
      </c>
      <c r="K22" s="182">
        <v>324</v>
      </c>
      <c r="L22" s="182">
        <v>337</v>
      </c>
      <c r="M22" s="182">
        <v>1194</v>
      </c>
      <c r="N22" s="182">
        <v>0</v>
      </c>
      <c r="O22" s="182">
        <v>0</v>
      </c>
      <c r="P22" s="182">
        <v>0</v>
      </c>
      <c r="Q22" s="182">
        <v>0</v>
      </c>
      <c r="R22" s="182">
        <v>0</v>
      </c>
    </row>
    <row r="23" spans="1:18" ht="24.95" customHeight="1" x14ac:dyDescent="0.2">
      <c r="A23" s="179" t="s">
        <v>359</v>
      </c>
      <c r="B23" s="180">
        <v>10437</v>
      </c>
      <c r="C23" s="180">
        <v>493266</v>
      </c>
      <c r="D23" s="180">
        <v>2564</v>
      </c>
      <c r="E23" s="180">
        <v>2627</v>
      </c>
      <c r="G23" s="181" t="s">
        <v>378</v>
      </c>
      <c r="H23" s="182">
        <v>0</v>
      </c>
      <c r="I23" s="182">
        <v>17</v>
      </c>
      <c r="J23" s="182">
        <v>0</v>
      </c>
      <c r="K23" s="182">
        <v>0</v>
      </c>
      <c r="L23" s="182">
        <v>0</v>
      </c>
      <c r="M23" s="182">
        <v>0</v>
      </c>
      <c r="N23" s="182">
        <v>0</v>
      </c>
      <c r="O23" s="182">
        <v>0</v>
      </c>
      <c r="P23" s="182">
        <v>0</v>
      </c>
      <c r="Q23" s="182">
        <v>0</v>
      </c>
      <c r="R23" s="182">
        <v>0</v>
      </c>
    </row>
    <row r="24" spans="1:18" ht="24.95" customHeight="1" x14ac:dyDescent="0.2">
      <c r="G24" s="181" t="s">
        <v>379</v>
      </c>
      <c r="H24" s="182">
        <v>0</v>
      </c>
      <c r="I24" s="182">
        <v>29</v>
      </c>
      <c r="J24" s="182">
        <v>90</v>
      </c>
      <c r="K24" s="182">
        <v>87</v>
      </c>
      <c r="L24" s="182">
        <v>91</v>
      </c>
      <c r="M24" s="182">
        <v>323</v>
      </c>
      <c r="N24" s="182">
        <v>0</v>
      </c>
      <c r="O24" s="182">
        <v>0</v>
      </c>
      <c r="P24" s="182">
        <v>0</v>
      </c>
      <c r="Q24" s="182">
        <v>0</v>
      </c>
      <c r="R24" s="182">
        <v>0</v>
      </c>
    </row>
    <row r="25" spans="1:18" ht="24.95" customHeight="1" x14ac:dyDescent="0.2">
      <c r="G25" s="179" t="s">
        <v>380</v>
      </c>
      <c r="H25" s="180">
        <v>0</v>
      </c>
      <c r="I25" s="180">
        <v>164</v>
      </c>
      <c r="J25" s="180">
        <v>422</v>
      </c>
      <c r="K25" s="180">
        <v>411</v>
      </c>
      <c r="L25" s="180">
        <v>428</v>
      </c>
      <c r="M25" s="180">
        <v>1517</v>
      </c>
      <c r="N25" s="180">
        <v>0</v>
      </c>
      <c r="O25" s="180">
        <v>0</v>
      </c>
      <c r="P25" s="180">
        <v>0</v>
      </c>
      <c r="Q25" s="180">
        <v>0</v>
      </c>
      <c r="R25" s="180">
        <v>0</v>
      </c>
    </row>
    <row r="26" spans="1:18" ht="24.95" customHeight="1" x14ac:dyDescent="0.2">
      <c r="G26" s="179" t="s">
        <v>355</v>
      </c>
      <c r="H26" s="180">
        <v>344</v>
      </c>
      <c r="I26" s="180">
        <v>28461</v>
      </c>
      <c r="J26" s="180">
        <v>193467</v>
      </c>
      <c r="K26" s="180">
        <v>84469</v>
      </c>
      <c r="L26" s="180">
        <v>54438</v>
      </c>
      <c r="M26" s="180">
        <v>34059</v>
      </c>
      <c r="N26" s="180">
        <v>11832</v>
      </c>
      <c r="O26" s="180">
        <v>11797</v>
      </c>
      <c r="P26" s="180">
        <v>68212</v>
      </c>
      <c r="Q26" s="180">
        <v>61166</v>
      </c>
      <c r="R26" s="180">
        <v>12137</v>
      </c>
    </row>
    <row r="27" spans="1:18" ht="24.95" customHeight="1" x14ac:dyDescent="0.2">
      <c r="G27" s="179" t="s">
        <v>359</v>
      </c>
      <c r="H27" s="180">
        <v>344</v>
      </c>
      <c r="I27" s="180">
        <v>28461</v>
      </c>
      <c r="J27" s="180">
        <v>193467</v>
      </c>
      <c r="K27" s="180">
        <v>84469</v>
      </c>
      <c r="L27" s="180">
        <v>54438</v>
      </c>
      <c r="M27" s="180">
        <v>34059</v>
      </c>
      <c r="N27" s="180">
        <v>11832</v>
      </c>
      <c r="O27" s="180">
        <v>11797</v>
      </c>
      <c r="P27" s="180">
        <v>68212</v>
      </c>
      <c r="Q27" s="180">
        <v>61166</v>
      </c>
      <c r="R27" s="180">
        <v>12137</v>
      </c>
    </row>
    <row r="29" spans="1:18" ht="75" x14ac:dyDescent="0.2">
      <c r="A29" s="178" t="s">
        <v>290</v>
      </c>
      <c r="B29" s="178" t="s">
        <v>72</v>
      </c>
      <c r="C29" s="178" t="s">
        <v>336</v>
      </c>
      <c r="D29" s="178" t="s">
        <v>381</v>
      </c>
      <c r="E29" s="178" t="s">
        <v>382</v>
      </c>
      <c r="F29" s="178" t="s">
        <v>383</v>
      </c>
    </row>
    <row r="30" spans="1:18" x14ac:dyDescent="0.2">
      <c r="A30" s="179" t="s">
        <v>339</v>
      </c>
      <c r="B30" s="180">
        <v>98922</v>
      </c>
      <c r="C30" s="180">
        <v>0</v>
      </c>
      <c r="D30" s="180">
        <v>15754</v>
      </c>
      <c r="E30" s="180">
        <v>37440</v>
      </c>
      <c r="F30" s="180">
        <v>45728</v>
      </c>
    </row>
    <row r="31" spans="1:18" ht="38.25" x14ac:dyDescent="0.2">
      <c r="A31" s="179" t="s">
        <v>340</v>
      </c>
      <c r="B31" s="180">
        <v>26604</v>
      </c>
      <c r="C31" s="180">
        <v>0</v>
      </c>
      <c r="D31" s="180">
        <v>4177</v>
      </c>
      <c r="E31" s="180">
        <v>10326</v>
      </c>
      <c r="F31" s="180">
        <v>12101</v>
      </c>
    </row>
    <row r="32" spans="1:18" x14ac:dyDescent="0.2">
      <c r="A32" s="179" t="s">
        <v>370</v>
      </c>
      <c r="B32" s="180">
        <v>2599</v>
      </c>
      <c r="C32" s="180">
        <v>0</v>
      </c>
      <c r="D32" s="180">
        <v>217</v>
      </c>
      <c r="E32" s="180">
        <v>329</v>
      </c>
      <c r="F32" s="180">
        <v>2053</v>
      </c>
    </row>
    <row r="33" spans="1:6" ht="25.5" x14ac:dyDescent="0.2">
      <c r="A33" s="179" t="s">
        <v>341</v>
      </c>
      <c r="B33" s="180">
        <v>3286</v>
      </c>
      <c r="C33" s="180">
        <v>0</v>
      </c>
      <c r="D33" s="180">
        <v>227</v>
      </c>
      <c r="E33" s="180">
        <v>638</v>
      </c>
      <c r="F33" s="180">
        <v>2421</v>
      </c>
    </row>
    <row r="34" spans="1:6" ht="25.5" x14ac:dyDescent="0.2">
      <c r="A34" s="179" t="s">
        <v>342</v>
      </c>
      <c r="B34" s="180">
        <v>8308</v>
      </c>
      <c r="C34" s="180">
        <v>0</v>
      </c>
      <c r="D34" s="180">
        <v>4450</v>
      </c>
      <c r="E34" s="180">
        <v>375</v>
      </c>
      <c r="F34" s="180">
        <v>3483</v>
      </c>
    </row>
    <row r="35" spans="1:6" ht="25.5" x14ac:dyDescent="0.2">
      <c r="A35" s="179" t="s">
        <v>343</v>
      </c>
      <c r="B35" s="180">
        <v>572</v>
      </c>
      <c r="C35" s="180">
        <v>0</v>
      </c>
      <c r="D35" s="180">
        <v>27</v>
      </c>
      <c r="E35" s="180">
        <v>56</v>
      </c>
      <c r="F35" s="180">
        <v>489</v>
      </c>
    </row>
    <row r="36" spans="1:6" ht="25.5" x14ac:dyDescent="0.2">
      <c r="A36" s="181" t="s">
        <v>344</v>
      </c>
      <c r="B36" s="182">
        <v>3152</v>
      </c>
      <c r="C36" s="182">
        <v>0</v>
      </c>
      <c r="D36" s="182">
        <v>1145</v>
      </c>
      <c r="E36" s="182">
        <v>323</v>
      </c>
      <c r="F36" s="182">
        <v>1684</v>
      </c>
    </row>
    <row r="37" spans="1:6" x14ac:dyDescent="0.2">
      <c r="A37" s="181" t="s">
        <v>345</v>
      </c>
      <c r="B37" s="182">
        <v>12</v>
      </c>
      <c r="C37" s="182">
        <v>0</v>
      </c>
      <c r="D37" s="182">
        <v>0</v>
      </c>
      <c r="E37" s="182">
        <v>0</v>
      </c>
      <c r="F37" s="182">
        <v>12</v>
      </c>
    </row>
    <row r="38" spans="1:6" ht="25.5" x14ac:dyDescent="0.2">
      <c r="A38" s="179" t="s">
        <v>346</v>
      </c>
      <c r="B38" s="180">
        <v>3164</v>
      </c>
      <c r="C38" s="180">
        <v>0</v>
      </c>
      <c r="D38" s="180">
        <v>1145</v>
      </c>
      <c r="E38" s="180">
        <v>323</v>
      </c>
      <c r="F38" s="180">
        <v>1696</v>
      </c>
    </row>
    <row r="39" spans="1:6" ht="25.5" x14ac:dyDescent="0.2">
      <c r="A39" s="179" t="s">
        <v>347</v>
      </c>
      <c r="B39" s="180">
        <v>17929</v>
      </c>
      <c r="C39" s="180">
        <v>0</v>
      </c>
      <c r="D39" s="180">
        <v>6066</v>
      </c>
      <c r="E39" s="180">
        <v>1721</v>
      </c>
      <c r="F39" s="180">
        <v>10142</v>
      </c>
    </row>
    <row r="40" spans="1:6" ht="25.5" x14ac:dyDescent="0.2">
      <c r="A40" s="181" t="s">
        <v>371</v>
      </c>
      <c r="B40" s="182">
        <v>346</v>
      </c>
      <c r="C40" s="182">
        <v>0</v>
      </c>
      <c r="D40" s="182">
        <v>346</v>
      </c>
      <c r="E40" s="182">
        <v>0</v>
      </c>
      <c r="F40" s="182">
        <v>0</v>
      </c>
    </row>
    <row r="41" spans="1:6" ht="25.5" x14ac:dyDescent="0.2">
      <c r="A41" s="179" t="s">
        <v>372</v>
      </c>
      <c r="B41" s="180">
        <v>346</v>
      </c>
      <c r="C41" s="180">
        <v>0</v>
      </c>
      <c r="D41" s="180">
        <v>346</v>
      </c>
      <c r="E41" s="180">
        <v>0</v>
      </c>
      <c r="F41" s="180">
        <v>0</v>
      </c>
    </row>
    <row r="42" spans="1:6" x14ac:dyDescent="0.2">
      <c r="A42" s="181" t="s">
        <v>348</v>
      </c>
      <c r="B42" s="182">
        <v>168</v>
      </c>
      <c r="C42" s="182">
        <v>168</v>
      </c>
      <c r="D42" s="182">
        <v>0</v>
      </c>
      <c r="E42" s="182">
        <v>0</v>
      </c>
      <c r="F42" s="182">
        <v>0</v>
      </c>
    </row>
    <row r="43" spans="1:6" ht="25.5" x14ac:dyDescent="0.2">
      <c r="A43" s="179" t="s">
        <v>349</v>
      </c>
      <c r="B43" s="180">
        <v>168</v>
      </c>
      <c r="C43" s="180">
        <v>168</v>
      </c>
      <c r="D43" s="180">
        <v>0</v>
      </c>
      <c r="E43" s="180">
        <v>0</v>
      </c>
      <c r="F43" s="180">
        <v>0</v>
      </c>
    </row>
    <row r="44" spans="1:6" ht="38.25" x14ac:dyDescent="0.2">
      <c r="A44" s="179" t="s">
        <v>352</v>
      </c>
      <c r="B44" s="180">
        <v>168</v>
      </c>
      <c r="C44" s="180">
        <v>168</v>
      </c>
      <c r="D44" s="180">
        <v>0</v>
      </c>
      <c r="E44" s="180">
        <v>0</v>
      </c>
      <c r="F44" s="180">
        <v>0</v>
      </c>
    </row>
    <row r="45" spans="1:6" ht="25.5" x14ac:dyDescent="0.2">
      <c r="A45" s="181" t="s">
        <v>373</v>
      </c>
      <c r="B45" s="182">
        <v>883</v>
      </c>
      <c r="C45" s="182">
        <v>0</v>
      </c>
      <c r="D45" s="182">
        <v>0</v>
      </c>
      <c r="E45" s="182">
        <v>417</v>
      </c>
      <c r="F45" s="182">
        <v>466</v>
      </c>
    </row>
    <row r="46" spans="1:6" ht="25.5" x14ac:dyDescent="0.2">
      <c r="A46" s="181" t="s">
        <v>374</v>
      </c>
      <c r="B46" s="182">
        <v>965</v>
      </c>
      <c r="C46" s="182">
        <v>0</v>
      </c>
      <c r="D46" s="182">
        <v>6</v>
      </c>
      <c r="E46" s="182">
        <v>561</v>
      </c>
      <c r="F46" s="182">
        <v>398</v>
      </c>
    </row>
    <row r="47" spans="1:6" ht="25.5" x14ac:dyDescent="0.2">
      <c r="A47" s="181" t="s">
        <v>375</v>
      </c>
      <c r="B47" s="182">
        <v>499</v>
      </c>
      <c r="C47" s="182">
        <v>0</v>
      </c>
      <c r="D47" s="182">
        <v>2</v>
      </c>
      <c r="E47" s="182">
        <v>264</v>
      </c>
      <c r="F47" s="182">
        <v>233</v>
      </c>
    </row>
    <row r="48" spans="1:6" ht="25.5" x14ac:dyDescent="0.2">
      <c r="A48" s="179" t="s">
        <v>376</v>
      </c>
      <c r="B48" s="180">
        <v>2347</v>
      </c>
      <c r="C48" s="180">
        <v>0</v>
      </c>
      <c r="D48" s="180">
        <v>8</v>
      </c>
      <c r="E48" s="180">
        <v>1242</v>
      </c>
      <c r="F48" s="180">
        <v>1097</v>
      </c>
    </row>
    <row r="49" spans="1:6" x14ac:dyDescent="0.2">
      <c r="A49" s="181" t="s">
        <v>377</v>
      </c>
      <c r="B49" s="182">
        <v>3488</v>
      </c>
      <c r="C49" s="182">
        <v>0</v>
      </c>
      <c r="D49" s="182">
        <v>1333</v>
      </c>
      <c r="E49" s="182">
        <v>0</v>
      </c>
      <c r="F49" s="182">
        <v>2155</v>
      </c>
    </row>
    <row r="50" spans="1:6" ht="25.5" x14ac:dyDescent="0.2">
      <c r="A50" s="181" t="s">
        <v>379</v>
      </c>
      <c r="B50" s="182">
        <v>715</v>
      </c>
      <c r="C50" s="182">
        <v>0</v>
      </c>
      <c r="D50" s="182">
        <v>255</v>
      </c>
      <c r="E50" s="182">
        <v>0</v>
      </c>
      <c r="F50" s="182">
        <v>460</v>
      </c>
    </row>
    <row r="51" spans="1:6" x14ac:dyDescent="0.2">
      <c r="A51" s="179" t="s">
        <v>380</v>
      </c>
      <c r="B51" s="180">
        <v>4203</v>
      </c>
      <c r="C51" s="180">
        <v>0</v>
      </c>
      <c r="D51" s="180">
        <v>1588</v>
      </c>
      <c r="E51" s="180">
        <v>0</v>
      </c>
      <c r="F51" s="180">
        <v>2615</v>
      </c>
    </row>
    <row r="52" spans="1:6" ht="38.25" x14ac:dyDescent="0.2">
      <c r="A52" s="179" t="s">
        <v>355</v>
      </c>
      <c r="B52" s="180">
        <v>150519</v>
      </c>
      <c r="C52" s="180">
        <v>168</v>
      </c>
      <c r="D52" s="180">
        <v>27939</v>
      </c>
      <c r="E52" s="180">
        <v>50729</v>
      </c>
      <c r="F52" s="180">
        <v>71683</v>
      </c>
    </row>
    <row r="53" spans="1:6" x14ac:dyDescent="0.2">
      <c r="A53" s="179" t="s">
        <v>359</v>
      </c>
      <c r="B53" s="180">
        <v>150519</v>
      </c>
      <c r="C53" s="180">
        <v>168</v>
      </c>
      <c r="D53" s="180">
        <v>27939</v>
      </c>
      <c r="E53" s="180">
        <v>50729</v>
      </c>
      <c r="F53" s="180">
        <v>71683</v>
      </c>
    </row>
  </sheetData>
  <mergeCells count="1">
    <mergeCell ref="A1:R1"/>
  </mergeCell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H3" sqref="H3"/>
    </sheetView>
  </sheetViews>
  <sheetFormatPr defaultRowHeight="14.25" x14ac:dyDescent="0.2"/>
  <cols>
    <col min="1" max="1" width="36.75" customWidth="1"/>
    <col min="2" max="2" width="12.875" customWidth="1"/>
    <col min="3" max="3" width="13.75" customWidth="1"/>
    <col min="4" max="5" width="12.625" customWidth="1"/>
    <col min="6" max="6" width="13.5" customWidth="1"/>
    <col min="8" max="8" width="36.875" customWidth="1"/>
    <col min="9" max="19" width="12.625" customWidth="1"/>
  </cols>
  <sheetData>
    <row r="1" spans="1:19" ht="15" x14ac:dyDescent="0.25">
      <c r="A1" s="217" t="s">
        <v>398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</row>
    <row r="2" spans="1:19" ht="135.75" customHeight="1" x14ac:dyDescent="0.2">
      <c r="A2" s="187" t="s">
        <v>319</v>
      </c>
      <c r="B2" s="187" t="s">
        <v>72</v>
      </c>
      <c r="C2" s="187" t="s">
        <v>335</v>
      </c>
      <c r="D2" s="187" t="s">
        <v>336</v>
      </c>
      <c r="E2" s="187" t="s">
        <v>387</v>
      </c>
    </row>
    <row r="3" spans="1:19" ht="24.95" customHeight="1" x14ac:dyDescent="0.2">
      <c r="A3" s="179" t="s">
        <v>388</v>
      </c>
      <c r="B3" s="180">
        <v>533848</v>
      </c>
      <c r="C3" s="180">
        <v>531948</v>
      </c>
      <c r="D3" s="180">
        <v>0</v>
      </c>
      <c r="E3" s="180">
        <v>1900</v>
      </c>
    </row>
    <row r="4" spans="1:19" ht="24.95" customHeight="1" x14ac:dyDescent="0.2">
      <c r="A4" s="179" t="s">
        <v>389</v>
      </c>
      <c r="B4" s="180">
        <v>6828</v>
      </c>
      <c r="C4" s="180">
        <v>6828</v>
      </c>
      <c r="D4" s="180">
        <v>0</v>
      </c>
      <c r="E4" s="180">
        <v>0</v>
      </c>
    </row>
    <row r="5" spans="1:19" ht="24.95" customHeight="1" x14ac:dyDescent="0.2">
      <c r="A5" s="179" t="s">
        <v>390</v>
      </c>
      <c r="B5" s="180">
        <v>2784</v>
      </c>
      <c r="C5" s="180">
        <v>2784</v>
      </c>
      <c r="D5" s="180">
        <v>0</v>
      </c>
      <c r="E5" s="180">
        <v>0</v>
      </c>
    </row>
    <row r="6" spans="1:19" ht="24.95" customHeight="1" x14ac:dyDescent="0.2">
      <c r="A6" s="179" t="s">
        <v>391</v>
      </c>
      <c r="B6" s="180">
        <v>543460</v>
      </c>
      <c r="C6" s="180">
        <v>541560</v>
      </c>
      <c r="D6" s="180">
        <v>0</v>
      </c>
      <c r="E6" s="180">
        <v>1900</v>
      </c>
    </row>
    <row r="7" spans="1:19" ht="24.95" customHeight="1" x14ac:dyDescent="0.2">
      <c r="A7" s="179" t="s">
        <v>392</v>
      </c>
      <c r="B7" s="180">
        <v>3258</v>
      </c>
      <c r="C7" s="180">
        <v>0</v>
      </c>
      <c r="D7" s="180">
        <v>3258</v>
      </c>
      <c r="E7" s="180">
        <v>0</v>
      </c>
    </row>
    <row r="8" spans="1:19" ht="24.95" customHeight="1" x14ac:dyDescent="0.2">
      <c r="A8" s="179" t="s">
        <v>393</v>
      </c>
      <c r="B8" s="180">
        <v>3258</v>
      </c>
      <c r="C8" s="180">
        <v>0</v>
      </c>
      <c r="D8" s="180">
        <v>3258</v>
      </c>
      <c r="E8" s="180">
        <v>0</v>
      </c>
    </row>
    <row r="9" spans="1:19" ht="24.95" customHeight="1" x14ac:dyDescent="0.2">
      <c r="A9" s="179" t="s">
        <v>394</v>
      </c>
      <c r="B9" s="180">
        <v>3258</v>
      </c>
      <c r="C9" s="180">
        <v>0</v>
      </c>
      <c r="D9" s="180">
        <v>3258</v>
      </c>
      <c r="E9" s="180">
        <v>0</v>
      </c>
    </row>
    <row r="10" spans="1:19" ht="24.95" customHeight="1" x14ac:dyDescent="0.2">
      <c r="A10" s="179" t="s">
        <v>395</v>
      </c>
      <c r="B10" s="180">
        <v>546718</v>
      </c>
      <c r="C10" s="180">
        <v>541560</v>
      </c>
      <c r="D10" s="180">
        <v>3258</v>
      </c>
      <c r="E10" s="180">
        <v>1900</v>
      </c>
    </row>
    <row r="13" spans="1:19" ht="105" x14ac:dyDescent="0.2">
      <c r="A13" s="187" t="s">
        <v>397</v>
      </c>
      <c r="B13" s="187" t="s">
        <v>72</v>
      </c>
      <c r="C13" s="187" t="s">
        <v>336</v>
      </c>
      <c r="D13" s="187" t="s">
        <v>381</v>
      </c>
      <c r="E13" s="187" t="s">
        <v>382</v>
      </c>
      <c r="F13" s="187" t="s">
        <v>383</v>
      </c>
      <c r="H13" s="187" t="s">
        <v>289</v>
      </c>
      <c r="I13" s="187" t="s">
        <v>72</v>
      </c>
      <c r="J13" s="187" t="s">
        <v>336</v>
      </c>
      <c r="K13" s="187" t="s">
        <v>360</v>
      </c>
      <c r="L13" s="187" t="s">
        <v>361</v>
      </c>
      <c r="M13" s="187" t="s">
        <v>362</v>
      </c>
      <c r="N13" s="187" t="s">
        <v>363</v>
      </c>
      <c r="O13" s="187" t="s">
        <v>364</v>
      </c>
      <c r="P13" s="187" t="s">
        <v>366</v>
      </c>
      <c r="Q13" s="187" t="s">
        <v>367</v>
      </c>
      <c r="R13" s="187" t="s">
        <v>368</v>
      </c>
      <c r="S13" s="187" t="s">
        <v>369</v>
      </c>
    </row>
    <row r="14" spans="1:19" ht="24.95" customHeight="1" x14ac:dyDescent="0.2">
      <c r="A14" s="179" t="s">
        <v>388</v>
      </c>
      <c r="B14" s="180">
        <v>4018</v>
      </c>
      <c r="C14" s="180">
        <v>0</v>
      </c>
      <c r="D14" s="180">
        <v>0</v>
      </c>
      <c r="E14" s="180">
        <v>0</v>
      </c>
      <c r="F14" s="180">
        <v>4018</v>
      </c>
      <c r="H14" s="179" t="s">
        <v>388</v>
      </c>
      <c r="I14" s="180">
        <v>24377</v>
      </c>
      <c r="J14" s="180">
        <v>0</v>
      </c>
      <c r="K14" s="180">
        <v>225</v>
      </c>
      <c r="L14" s="180">
        <v>5108</v>
      </c>
      <c r="M14" s="180">
        <v>735</v>
      </c>
      <c r="N14" s="180">
        <v>11730</v>
      </c>
      <c r="O14" s="180">
        <v>570</v>
      </c>
      <c r="P14" s="180">
        <v>0</v>
      </c>
      <c r="Q14" s="180">
        <v>800</v>
      </c>
      <c r="R14" s="180">
        <v>164</v>
      </c>
      <c r="S14" s="180">
        <v>5045</v>
      </c>
    </row>
    <row r="15" spans="1:19" ht="24.95" customHeight="1" x14ac:dyDescent="0.2">
      <c r="A15" s="179" t="s">
        <v>389</v>
      </c>
      <c r="B15" s="180">
        <v>3306</v>
      </c>
      <c r="C15" s="180">
        <v>0</v>
      </c>
      <c r="D15" s="180">
        <v>1181</v>
      </c>
      <c r="E15" s="180">
        <v>1205</v>
      </c>
      <c r="F15" s="180">
        <v>920</v>
      </c>
      <c r="H15" s="179" t="s">
        <v>389</v>
      </c>
      <c r="I15" s="180">
        <v>208403</v>
      </c>
      <c r="J15" s="180">
        <v>0</v>
      </c>
      <c r="K15" s="180">
        <v>3714</v>
      </c>
      <c r="L15" s="180">
        <v>103519</v>
      </c>
      <c r="M15" s="180">
        <v>34768</v>
      </c>
      <c r="N15" s="180">
        <v>7358</v>
      </c>
      <c r="O15" s="180">
        <v>4962</v>
      </c>
      <c r="P15" s="180">
        <v>505</v>
      </c>
      <c r="Q15" s="180">
        <v>37796</v>
      </c>
      <c r="R15" s="180">
        <v>12588</v>
      </c>
      <c r="S15" s="180">
        <v>3193</v>
      </c>
    </row>
    <row r="16" spans="1:19" ht="24.95" customHeight="1" x14ac:dyDescent="0.2">
      <c r="A16" s="179" t="s">
        <v>390</v>
      </c>
      <c r="B16" s="180">
        <v>1250</v>
      </c>
      <c r="C16" s="180">
        <v>0</v>
      </c>
      <c r="D16" s="180">
        <v>0</v>
      </c>
      <c r="E16" s="180">
        <v>0</v>
      </c>
      <c r="F16" s="180">
        <v>1250</v>
      </c>
      <c r="H16" s="179" t="s">
        <v>390</v>
      </c>
      <c r="I16" s="180">
        <v>400</v>
      </c>
      <c r="J16" s="180">
        <v>0</v>
      </c>
      <c r="K16" s="180">
        <v>0</v>
      </c>
      <c r="L16" s="180">
        <v>0</v>
      </c>
      <c r="M16" s="180">
        <v>0</v>
      </c>
      <c r="N16" s="180">
        <v>0</v>
      </c>
      <c r="O16" s="180">
        <v>400</v>
      </c>
      <c r="P16" s="180">
        <v>0</v>
      </c>
      <c r="Q16" s="180">
        <v>0</v>
      </c>
      <c r="R16" s="180">
        <v>0</v>
      </c>
      <c r="S16" s="180">
        <v>0</v>
      </c>
    </row>
    <row r="17" spans="1:19" ht="24.95" customHeight="1" x14ac:dyDescent="0.2">
      <c r="A17" s="179" t="s">
        <v>391</v>
      </c>
      <c r="B17" s="180">
        <v>8574</v>
      </c>
      <c r="C17" s="180">
        <v>0</v>
      </c>
      <c r="D17" s="180">
        <v>1181</v>
      </c>
      <c r="E17" s="180">
        <v>1205</v>
      </c>
      <c r="F17" s="180">
        <v>6188</v>
      </c>
      <c r="H17" s="179" t="s">
        <v>391</v>
      </c>
      <c r="I17" s="180">
        <v>233180</v>
      </c>
      <c r="J17" s="180">
        <v>0</v>
      </c>
      <c r="K17" s="180">
        <v>3939</v>
      </c>
      <c r="L17" s="180">
        <v>108627</v>
      </c>
      <c r="M17" s="180">
        <v>35503</v>
      </c>
      <c r="N17" s="180">
        <v>19088</v>
      </c>
      <c r="O17" s="180">
        <v>5932</v>
      </c>
      <c r="P17" s="180">
        <v>505</v>
      </c>
      <c r="Q17" s="180">
        <v>38596</v>
      </c>
      <c r="R17" s="180">
        <v>12752</v>
      </c>
      <c r="S17" s="180">
        <v>8238</v>
      </c>
    </row>
    <row r="18" spans="1:19" ht="24.95" customHeight="1" x14ac:dyDescent="0.2">
      <c r="A18" s="179" t="s">
        <v>392</v>
      </c>
      <c r="B18" s="180">
        <v>415</v>
      </c>
      <c r="C18" s="180">
        <v>415</v>
      </c>
      <c r="D18" s="180">
        <v>0</v>
      </c>
      <c r="E18" s="180">
        <v>0</v>
      </c>
      <c r="F18" s="180">
        <v>0</v>
      </c>
      <c r="H18" s="179" t="s">
        <v>392</v>
      </c>
      <c r="I18" s="180">
        <v>837</v>
      </c>
      <c r="J18" s="180">
        <v>837</v>
      </c>
      <c r="K18" s="180">
        <v>0</v>
      </c>
      <c r="L18" s="180">
        <v>0</v>
      </c>
      <c r="M18" s="180">
        <v>0</v>
      </c>
      <c r="N18" s="180">
        <v>0</v>
      </c>
      <c r="O18" s="180">
        <v>0</v>
      </c>
      <c r="P18" s="180">
        <v>0</v>
      </c>
      <c r="Q18" s="180">
        <v>0</v>
      </c>
      <c r="R18" s="180">
        <v>0</v>
      </c>
      <c r="S18" s="180">
        <v>0</v>
      </c>
    </row>
    <row r="19" spans="1:19" ht="24.95" customHeight="1" x14ac:dyDescent="0.2">
      <c r="A19" s="181" t="s">
        <v>396</v>
      </c>
      <c r="B19" s="182">
        <v>145760</v>
      </c>
      <c r="C19" s="182">
        <v>145760</v>
      </c>
      <c r="D19" s="182">
        <v>0</v>
      </c>
      <c r="E19" s="182">
        <v>0</v>
      </c>
      <c r="F19" s="182">
        <v>0</v>
      </c>
      <c r="H19" s="181" t="s">
        <v>396</v>
      </c>
      <c r="I19" s="182">
        <v>345386</v>
      </c>
      <c r="J19" s="182">
        <v>345386</v>
      </c>
      <c r="K19" s="182">
        <v>0</v>
      </c>
      <c r="L19" s="182">
        <v>0</v>
      </c>
      <c r="M19" s="182">
        <v>0</v>
      </c>
      <c r="N19" s="182">
        <v>0</v>
      </c>
      <c r="O19" s="182">
        <v>0</v>
      </c>
      <c r="P19" s="182">
        <v>0</v>
      </c>
      <c r="Q19" s="182">
        <v>0</v>
      </c>
      <c r="R19" s="182">
        <v>0</v>
      </c>
      <c r="S19" s="182">
        <v>0</v>
      </c>
    </row>
    <row r="20" spans="1:19" ht="24.95" customHeight="1" x14ac:dyDescent="0.2">
      <c r="A20" s="179" t="s">
        <v>393</v>
      </c>
      <c r="B20" s="180">
        <v>146175</v>
      </c>
      <c r="C20" s="180">
        <v>146175</v>
      </c>
      <c r="D20" s="180">
        <v>0</v>
      </c>
      <c r="E20" s="180">
        <v>0</v>
      </c>
      <c r="F20" s="180">
        <v>0</v>
      </c>
      <c r="H20" s="179" t="s">
        <v>393</v>
      </c>
      <c r="I20" s="180">
        <v>346223</v>
      </c>
      <c r="J20" s="180">
        <v>346223</v>
      </c>
      <c r="K20" s="180">
        <v>0</v>
      </c>
      <c r="L20" s="180">
        <v>0</v>
      </c>
      <c r="M20" s="180">
        <v>0</v>
      </c>
      <c r="N20" s="180">
        <v>0</v>
      </c>
      <c r="O20" s="180">
        <v>0</v>
      </c>
      <c r="P20" s="180">
        <v>0</v>
      </c>
      <c r="Q20" s="180">
        <v>0</v>
      </c>
      <c r="R20" s="180">
        <v>0</v>
      </c>
      <c r="S20" s="180">
        <v>0</v>
      </c>
    </row>
    <row r="21" spans="1:19" ht="24.95" customHeight="1" x14ac:dyDescent="0.2">
      <c r="A21" s="179" t="s">
        <v>394</v>
      </c>
      <c r="B21" s="180">
        <v>146175</v>
      </c>
      <c r="C21" s="180">
        <v>146175</v>
      </c>
      <c r="D21" s="180">
        <v>0</v>
      </c>
      <c r="E21" s="180">
        <v>0</v>
      </c>
      <c r="F21" s="180">
        <v>0</v>
      </c>
      <c r="H21" s="179" t="s">
        <v>394</v>
      </c>
      <c r="I21" s="180">
        <v>346223</v>
      </c>
      <c r="J21" s="180">
        <v>346223</v>
      </c>
      <c r="K21" s="180">
        <v>0</v>
      </c>
      <c r="L21" s="180">
        <v>0</v>
      </c>
      <c r="M21" s="180">
        <v>0</v>
      </c>
      <c r="N21" s="180">
        <v>0</v>
      </c>
      <c r="O21" s="180">
        <v>0</v>
      </c>
      <c r="P21" s="180">
        <v>0</v>
      </c>
      <c r="Q21" s="180">
        <v>0</v>
      </c>
      <c r="R21" s="180">
        <v>0</v>
      </c>
      <c r="S21" s="180">
        <v>0</v>
      </c>
    </row>
    <row r="22" spans="1:19" ht="24.95" customHeight="1" x14ac:dyDescent="0.2">
      <c r="A22" s="179" t="s">
        <v>395</v>
      </c>
      <c r="B22" s="180">
        <v>154749</v>
      </c>
      <c r="C22" s="180">
        <v>146175</v>
      </c>
      <c r="D22" s="180">
        <v>1181</v>
      </c>
      <c r="E22" s="180">
        <v>1205</v>
      </c>
      <c r="F22" s="180">
        <v>6188</v>
      </c>
      <c r="H22" s="179" t="s">
        <v>395</v>
      </c>
      <c r="I22" s="180">
        <v>579403</v>
      </c>
      <c r="J22" s="180">
        <v>346223</v>
      </c>
      <c r="K22" s="180">
        <v>3939</v>
      </c>
      <c r="L22" s="180">
        <v>108627</v>
      </c>
      <c r="M22" s="180">
        <v>35503</v>
      </c>
      <c r="N22" s="180">
        <v>19088</v>
      </c>
      <c r="O22" s="180">
        <v>5932</v>
      </c>
      <c r="P22" s="180">
        <v>505</v>
      </c>
      <c r="Q22" s="180">
        <v>38596</v>
      </c>
      <c r="R22" s="180">
        <v>12752</v>
      </c>
      <c r="S22" s="180">
        <v>8238</v>
      </c>
    </row>
    <row r="23" spans="1:19" x14ac:dyDescent="0.2">
      <c r="A23" s="188"/>
      <c r="B23" s="188"/>
      <c r="C23" s="188"/>
      <c r="D23" s="188"/>
      <c r="E23" s="188"/>
      <c r="F23" s="188"/>
    </row>
  </sheetData>
  <mergeCells count="1">
    <mergeCell ref="A1:S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11" workbookViewId="0">
      <selection activeCell="A23" sqref="A23"/>
    </sheetView>
  </sheetViews>
  <sheetFormatPr defaultRowHeight="15" x14ac:dyDescent="0.25"/>
  <cols>
    <col min="1" max="1" width="30.75" style="189" customWidth="1"/>
    <col min="2" max="2" width="20.125" style="189" customWidth="1"/>
    <col min="3" max="16384" width="9" style="189"/>
  </cols>
  <sheetData>
    <row r="1" spans="1:6" ht="15.75" x14ac:dyDescent="0.25">
      <c r="A1" s="218" t="s">
        <v>399</v>
      </c>
      <c r="B1" s="218"/>
      <c r="C1" s="218"/>
      <c r="D1" s="218"/>
      <c r="E1" s="218"/>
      <c r="F1" s="218"/>
    </row>
    <row r="2" spans="1:6" ht="36" customHeight="1" x14ac:dyDescent="0.25">
      <c r="A2" s="219" t="s">
        <v>400</v>
      </c>
      <c r="B2" s="219"/>
      <c r="C2" s="219"/>
      <c r="D2" s="219"/>
      <c r="E2" s="219"/>
      <c r="F2" s="219"/>
    </row>
    <row r="3" spans="1:6" ht="15.75" customHeight="1" x14ac:dyDescent="0.25">
      <c r="A3" s="219" t="s">
        <v>401</v>
      </c>
      <c r="B3" s="219"/>
      <c r="C3" s="219"/>
      <c r="D3" s="219"/>
      <c r="E3" s="219"/>
      <c r="F3" s="219"/>
    </row>
    <row r="4" spans="1:6" ht="15.75" x14ac:dyDescent="0.25">
      <c r="A4" s="218" t="s">
        <v>410</v>
      </c>
      <c r="B4" s="218"/>
      <c r="C4" s="218"/>
      <c r="D4" s="218"/>
      <c r="E4" s="218"/>
      <c r="F4" s="218"/>
    </row>
    <row r="5" spans="1:6" ht="15.75" x14ac:dyDescent="0.25">
      <c r="A5" s="218" t="s">
        <v>14</v>
      </c>
      <c r="B5" s="218"/>
      <c r="C5" s="218"/>
      <c r="D5" s="218"/>
      <c r="E5" s="218"/>
      <c r="F5" s="218"/>
    </row>
    <row r="6" spans="1:6" x14ac:dyDescent="0.25">
      <c r="E6" s="190" t="s">
        <v>385</v>
      </c>
    </row>
    <row r="7" spans="1:6" x14ac:dyDescent="0.25">
      <c r="A7" s="190" t="s">
        <v>92</v>
      </c>
      <c r="B7" s="190" t="s">
        <v>402</v>
      </c>
    </row>
    <row r="8" spans="1:6" x14ac:dyDescent="0.25">
      <c r="A8" s="190" t="s">
        <v>403</v>
      </c>
    </row>
    <row r="9" spans="1:6" ht="45" x14ac:dyDescent="0.25">
      <c r="A9" s="196" t="s">
        <v>414</v>
      </c>
      <c r="B9" s="193">
        <v>663</v>
      </c>
    </row>
    <row r="10" spans="1:6" ht="60" x14ac:dyDescent="0.25">
      <c r="A10" s="196" t="s">
        <v>415</v>
      </c>
      <c r="B10" s="192">
        <v>1457</v>
      </c>
    </row>
    <row r="11" spans="1:6" ht="30" x14ac:dyDescent="0.25">
      <c r="A11" s="191" t="s">
        <v>404</v>
      </c>
      <c r="B11" s="192">
        <v>1800</v>
      </c>
    </row>
    <row r="12" spans="1:6" ht="45" x14ac:dyDescent="0.25">
      <c r="A12" s="191" t="s">
        <v>411</v>
      </c>
      <c r="B12" s="192">
        <v>764</v>
      </c>
    </row>
    <row r="13" spans="1:6" x14ac:dyDescent="0.25">
      <c r="A13" s="190" t="s">
        <v>405</v>
      </c>
    </row>
    <row r="14" spans="1:6" x14ac:dyDescent="0.25">
      <c r="A14" s="193" t="s">
        <v>406</v>
      </c>
      <c r="B14" s="193">
        <v>700</v>
      </c>
    </row>
    <row r="15" spans="1:6" x14ac:dyDescent="0.25">
      <c r="A15" s="193" t="s">
        <v>412</v>
      </c>
      <c r="B15" s="193">
        <v>50</v>
      </c>
    </row>
    <row r="16" spans="1:6" x14ac:dyDescent="0.25">
      <c r="A16" s="193" t="s">
        <v>413</v>
      </c>
      <c r="B16" s="193">
        <v>50</v>
      </c>
    </row>
    <row r="17" spans="1:2" ht="30" x14ac:dyDescent="0.25">
      <c r="A17" s="194" t="s">
        <v>407</v>
      </c>
    </row>
    <row r="18" spans="1:2" ht="45" x14ac:dyDescent="0.25">
      <c r="A18" s="191" t="s">
        <v>408</v>
      </c>
      <c r="B18" s="192">
        <v>1827</v>
      </c>
    </row>
    <row r="19" spans="1:2" ht="30" x14ac:dyDescent="0.25">
      <c r="A19" s="194" t="s">
        <v>409</v>
      </c>
      <c r="B19" s="195">
        <f>SUM(B9:B18)</f>
        <v>7311</v>
      </c>
    </row>
    <row r="23" spans="1:2" x14ac:dyDescent="0.25">
      <c r="A23" s="177" t="s">
        <v>226</v>
      </c>
    </row>
  </sheetData>
  <mergeCells count="5">
    <mergeCell ref="A1:F1"/>
    <mergeCell ref="A2:F2"/>
    <mergeCell ref="A3:F3"/>
    <mergeCell ref="A4:F4"/>
    <mergeCell ref="A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9" workbookViewId="0">
      <selection activeCell="A12" sqref="A12:D12"/>
    </sheetView>
  </sheetViews>
  <sheetFormatPr defaultRowHeight="15" x14ac:dyDescent="0.25"/>
  <cols>
    <col min="1" max="1" width="9" style="189"/>
    <col min="2" max="2" width="12" style="189" customWidth="1"/>
    <col min="3" max="3" width="17.125" style="189" customWidth="1"/>
    <col min="4" max="4" width="17.75" style="189" customWidth="1"/>
    <col min="5" max="5" width="17.25" style="189" customWidth="1"/>
    <col min="6" max="6" width="34" style="189" customWidth="1"/>
    <col min="7" max="16384" width="9" style="189"/>
  </cols>
  <sheetData>
    <row r="1" spans="1:6" x14ac:dyDescent="0.25">
      <c r="F1" s="197" t="s">
        <v>416</v>
      </c>
    </row>
    <row r="2" spans="1:6" ht="42.75" customHeight="1" x14ac:dyDescent="0.25">
      <c r="A2" s="221" t="s">
        <v>417</v>
      </c>
      <c r="B2" s="221"/>
      <c r="C2" s="221"/>
      <c r="D2" s="221"/>
      <c r="E2" s="221"/>
      <c r="F2" s="221"/>
    </row>
    <row r="3" spans="1:6" x14ac:dyDescent="0.25">
      <c r="A3" s="222" t="s">
        <v>426</v>
      </c>
      <c r="B3" s="222"/>
      <c r="C3" s="222"/>
      <c r="D3" s="222"/>
      <c r="E3" s="222"/>
      <c r="F3" s="222"/>
    </row>
    <row r="4" spans="1:6" x14ac:dyDescent="0.25">
      <c r="C4" s="198" t="s">
        <v>418</v>
      </c>
      <c r="D4" s="198" t="s">
        <v>419</v>
      </c>
      <c r="E4" s="198" t="s">
        <v>420</v>
      </c>
      <c r="F4" s="198" t="s">
        <v>421</v>
      </c>
    </row>
    <row r="5" spans="1:6" x14ac:dyDescent="0.25">
      <c r="A5" s="199" t="s">
        <v>422</v>
      </c>
      <c r="B5" s="199"/>
      <c r="C5" s="192">
        <v>15278400</v>
      </c>
      <c r="D5" s="192">
        <v>15278400</v>
      </c>
      <c r="E5" s="192">
        <f>C5-D5</f>
        <v>0</v>
      </c>
      <c r="F5" s="191"/>
    </row>
    <row r="6" spans="1:6" ht="33" customHeight="1" x14ac:dyDescent="0.25">
      <c r="A6" s="223" t="s">
        <v>423</v>
      </c>
      <c r="B6" s="223"/>
      <c r="C6" s="192">
        <v>4022100</v>
      </c>
      <c r="D6" s="192">
        <v>4022100</v>
      </c>
      <c r="E6" s="192">
        <f>C6-D6</f>
        <v>0</v>
      </c>
      <c r="F6" s="193" t="s">
        <v>427</v>
      </c>
    </row>
    <row r="7" spans="1:6" ht="58.5" customHeight="1" x14ac:dyDescent="0.25">
      <c r="A7" s="223" t="s">
        <v>424</v>
      </c>
      <c r="B7" s="223"/>
      <c r="C7" s="192">
        <v>1527840</v>
      </c>
      <c r="D7" s="192">
        <v>1527840</v>
      </c>
      <c r="E7" s="192">
        <f>C7-D7</f>
        <v>0</v>
      </c>
      <c r="F7" s="191" t="s">
        <v>428</v>
      </c>
    </row>
    <row r="8" spans="1:6" ht="45" x14ac:dyDescent="0.25">
      <c r="A8" s="224" t="s">
        <v>425</v>
      </c>
      <c r="B8" s="224"/>
      <c r="C8" s="192">
        <v>763920</v>
      </c>
      <c r="D8" s="192">
        <v>763920</v>
      </c>
      <c r="E8" s="192">
        <f>C8-D8</f>
        <v>0</v>
      </c>
      <c r="F8" s="191" t="s">
        <v>429</v>
      </c>
    </row>
    <row r="9" spans="1:6" ht="240" customHeight="1" x14ac:dyDescent="0.25">
      <c r="A9" s="223" t="s">
        <v>430</v>
      </c>
      <c r="B9" s="223"/>
      <c r="C9" s="192">
        <v>7639200</v>
      </c>
      <c r="D9" s="192">
        <v>7639200</v>
      </c>
      <c r="E9" s="192">
        <f>C9-D9</f>
        <v>0</v>
      </c>
      <c r="F9" s="191" t="s">
        <v>431</v>
      </c>
    </row>
    <row r="12" spans="1:6" ht="78.75" customHeight="1" x14ac:dyDescent="0.25">
      <c r="A12" s="220" t="s">
        <v>226</v>
      </c>
      <c r="B12" s="220"/>
      <c r="C12" s="220"/>
      <c r="D12" s="220"/>
    </row>
  </sheetData>
  <mergeCells count="7">
    <mergeCell ref="A12:D12"/>
    <mergeCell ref="A2:F2"/>
    <mergeCell ref="A3:F3"/>
    <mergeCell ref="A6:B6"/>
    <mergeCell ref="A7:B7"/>
    <mergeCell ref="A8:B8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címrend</vt:lpstr>
      <vt:lpstr>összevont ktg.mérleg</vt:lpstr>
      <vt:lpstr>KESZI ktg. mérleg</vt:lpstr>
      <vt:lpstr>KGYCSSZK ktg. mérleg</vt:lpstr>
      <vt:lpstr>társulás ktg. mérleg</vt:lpstr>
      <vt:lpstr>műk. és fel. egyens.</vt:lpstr>
      <vt:lpstr>létszám</vt:lpstr>
      <vt:lpstr>állami</vt:lpstr>
      <vt:lpstr>vagyonmérleg</vt:lpstr>
      <vt:lpstr>eredménykimutatás</vt:lpstr>
      <vt:lpstr>maradvány</vt:lpstr>
      <vt:lpstr>kiadások</vt:lpstr>
      <vt:lpstr>bevételek</vt:lpstr>
      <vt:lpstr>pénzeszköz átadások</vt:lpstr>
      <vt:lpstr>befizetések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2015-11-16T14:00:39Z</cp:lastPrinted>
  <dcterms:created xsi:type="dcterms:W3CDTF">2013-02-08T06:54:51Z</dcterms:created>
  <dcterms:modified xsi:type="dcterms:W3CDTF">2016-04-11T07:49:58Z</dcterms:modified>
</cp:coreProperties>
</file>