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155" windowWidth="15480" windowHeight="6765" activeTab="4"/>
  </bookViews>
  <sheets>
    <sheet name="címrend" sheetId="1" r:id="rId1"/>
    <sheet name="összevont ktg.mérleg" sheetId="2" r:id="rId2"/>
    <sheet name="KESZI ktg. mérleg" sheetId="3" r:id="rId3"/>
    <sheet name="KGYCSSZK ktg. mérleg" sheetId="4" r:id="rId4"/>
    <sheet name="társulás ktg. mérleg" sheetId="5" r:id="rId5"/>
  </sheets>
  <externalReferences>
    <externalReference r:id="rId6"/>
    <externalReference r:id="rId7"/>
  </externalReferences>
  <calcPr calcId="145621"/>
</workbook>
</file>

<file path=xl/calcChain.xml><?xml version="1.0" encoding="utf-8"?>
<calcChain xmlns="http://schemas.openxmlformats.org/spreadsheetml/2006/main">
  <c r="M28" i="2" l="1"/>
  <c r="E24" i="5"/>
  <c r="E17" i="5"/>
  <c r="E25" i="4"/>
  <c r="E27" i="4"/>
  <c r="E22" i="4"/>
  <c r="F26" i="3"/>
  <c r="F23" i="3"/>
  <c r="L24" i="2" s="1"/>
  <c r="F52" i="3" l="1"/>
  <c r="F44" i="3"/>
  <c r="F53" i="3"/>
  <c r="F45" i="3"/>
  <c r="N30" i="2" l="1"/>
  <c r="N27" i="2"/>
  <c r="N26" i="2"/>
  <c r="N25" i="2"/>
  <c r="M24" i="2"/>
  <c r="N19" i="2"/>
  <c r="N16" i="2"/>
  <c r="M14" i="2"/>
  <c r="M13" i="2"/>
  <c r="M12" i="2"/>
  <c r="M11" i="2"/>
  <c r="L17" i="2"/>
  <c r="N17" i="2" s="1"/>
  <c r="E20" i="5"/>
  <c r="E22" i="5" s="1"/>
  <c r="E28" i="5"/>
  <c r="L28" i="2" s="1"/>
  <c r="L31" i="2" s="1"/>
  <c r="L32" i="2"/>
  <c r="L21" i="2"/>
  <c r="L15" i="2"/>
  <c r="N15" i="2" s="1"/>
  <c r="L14" i="2"/>
  <c r="L13" i="2"/>
  <c r="L12" i="2"/>
  <c r="L11" i="2"/>
  <c r="E32" i="5"/>
  <c r="E34" i="5" s="1"/>
  <c r="E15" i="5"/>
  <c r="E39" i="4"/>
  <c r="E17" i="4"/>
  <c r="N32" i="2" l="1"/>
  <c r="L33" i="2"/>
  <c r="N13" i="2"/>
  <c r="E29" i="4"/>
  <c r="E31" i="4" s="1"/>
  <c r="E19" i="4"/>
  <c r="E20" i="4" s="1"/>
  <c r="N14" i="2"/>
  <c r="N24" i="2"/>
  <c r="N12" i="2"/>
  <c r="M31" i="2"/>
  <c r="M33" i="2" s="1"/>
  <c r="N11" i="2"/>
  <c r="N28" i="2"/>
  <c r="N31" i="2" l="1"/>
  <c r="N33" i="2" s="1"/>
  <c r="F54" i="3"/>
  <c r="E45" i="3"/>
  <c r="F30" i="3" l="1"/>
  <c r="F33" i="3" s="1"/>
  <c r="F17" i="3"/>
  <c r="L18" i="2" l="1"/>
  <c r="M18" i="2"/>
  <c r="M20" i="2" s="1"/>
  <c r="M22" i="2" s="1"/>
  <c r="F19" i="3"/>
  <c r="F21" i="3" s="1"/>
  <c r="N18" i="2" l="1"/>
  <c r="N20" i="2" s="1"/>
  <c r="N22" i="2" s="1"/>
  <c r="L20" i="2"/>
  <c r="L22" i="2" s="1"/>
  <c r="I28" i="2"/>
  <c r="K28" i="2"/>
  <c r="K31" i="2" s="1"/>
  <c r="K33" i="2" s="1"/>
  <c r="I32" i="2"/>
  <c r="J32" i="2" s="1"/>
  <c r="I24" i="2"/>
  <c r="J24" i="2" s="1"/>
  <c r="I25" i="2"/>
  <c r="J25" i="2" s="1"/>
  <c r="I26" i="2"/>
  <c r="J26" i="2" s="1"/>
  <c r="J27" i="2"/>
  <c r="I30" i="2"/>
  <c r="J30" i="2" s="1"/>
  <c r="I12" i="2"/>
  <c r="J12" i="2" s="1"/>
  <c r="I13" i="2"/>
  <c r="J13" i="2" s="1"/>
  <c r="J14" i="2"/>
  <c r="J15" i="2"/>
  <c r="J18" i="2"/>
  <c r="J19" i="2"/>
  <c r="I11" i="2"/>
  <c r="J21" i="2"/>
  <c r="K20" i="2"/>
  <c r="K22" i="2" s="1"/>
  <c r="E52" i="3"/>
  <c r="E51" i="3"/>
  <c r="E50" i="3"/>
  <c r="E49" i="3"/>
  <c r="E30" i="3"/>
  <c r="E33" i="3" s="1"/>
  <c r="E19" i="3"/>
  <c r="E21" i="3" s="1"/>
  <c r="D38" i="4"/>
  <c r="D39" i="4"/>
  <c r="D40" i="4"/>
  <c r="D42" i="4"/>
  <c r="E42" i="4" s="1"/>
  <c r="D41" i="4"/>
  <c r="E41" i="4" s="1"/>
  <c r="D29" i="4"/>
  <c r="D31" i="4" s="1"/>
  <c r="D19" i="4"/>
  <c r="D20" i="4" s="1"/>
  <c r="D32" i="5"/>
  <c r="D34" i="5" s="1"/>
  <c r="D20" i="5"/>
  <c r="D22" i="5" s="1"/>
  <c r="F15" i="2"/>
  <c r="B15" i="5"/>
  <c r="E15" i="2" s="1"/>
  <c r="C15" i="4"/>
  <c r="F14" i="2" s="1"/>
  <c r="B15" i="4"/>
  <c r="C15" i="3"/>
  <c r="D38" i="3"/>
  <c r="D39" i="3"/>
  <c r="D40" i="3"/>
  <c r="D41" i="3"/>
  <c r="D42" i="3"/>
  <c r="E42" i="3" s="1"/>
  <c r="D43" i="3"/>
  <c r="D44" i="3"/>
  <c r="E44" i="3" s="1"/>
  <c r="D47" i="3"/>
  <c r="E47" i="3" s="1"/>
  <c r="C13" i="5"/>
  <c r="H12" i="2" s="1"/>
  <c r="C12" i="5"/>
  <c r="H11" i="2" s="1"/>
  <c r="C37" i="4"/>
  <c r="D37" i="4" s="1"/>
  <c r="C35" i="4"/>
  <c r="C17" i="4"/>
  <c r="D17" i="3"/>
  <c r="D48" i="3"/>
  <c r="F21" i="2"/>
  <c r="G21" i="2" s="1"/>
  <c r="E28" i="2"/>
  <c r="E24" i="2"/>
  <c r="B29" i="5"/>
  <c r="B28" i="5"/>
  <c r="B32" i="5" s="1"/>
  <c r="B34" i="5" s="1"/>
  <c r="B25" i="4"/>
  <c r="C26" i="3"/>
  <c r="C31" i="3"/>
  <c r="C32" i="2" s="1"/>
  <c r="C30" i="2"/>
  <c r="D30" i="2" s="1"/>
  <c r="C26" i="2"/>
  <c r="C25" i="2"/>
  <c r="D25" i="2" s="1"/>
  <c r="B22" i="4"/>
  <c r="B24" i="2" s="1"/>
  <c r="C23" i="3"/>
  <c r="H28" i="2"/>
  <c r="C25" i="4"/>
  <c r="C29" i="4" s="1"/>
  <c r="C31" i="4" s="1"/>
  <c r="B14" i="5"/>
  <c r="E13" i="2" s="1"/>
  <c r="B13" i="5"/>
  <c r="E12" i="2" s="1"/>
  <c r="B12" i="5"/>
  <c r="C17" i="3"/>
  <c r="C18" i="2" s="1"/>
  <c r="D18" i="2" s="1"/>
  <c r="B21" i="5"/>
  <c r="B21" i="2" s="1"/>
  <c r="B14" i="4"/>
  <c r="C14" i="3"/>
  <c r="B13" i="4"/>
  <c r="C13" i="3"/>
  <c r="B12" i="4"/>
  <c r="C12" i="3"/>
  <c r="F32" i="2"/>
  <c r="G32" i="2" s="1"/>
  <c r="H30" i="2"/>
  <c r="G30" i="2" s="1"/>
  <c r="F29" i="2"/>
  <c r="G29" i="2" s="1"/>
  <c r="G27" i="2"/>
  <c r="F26" i="2"/>
  <c r="H26" i="2"/>
  <c r="F25" i="2"/>
  <c r="H25" i="2"/>
  <c r="F24" i="2"/>
  <c r="H24" i="2"/>
  <c r="G19" i="2"/>
  <c r="H15" i="2"/>
  <c r="F13" i="2"/>
  <c r="H13" i="2"/>
  <c r="F16" i="2"/>
  <c r="G16" i="2" s="1"/>
  <c r="D46" i="3"/>
  <c r="E46" i="3" s="1"/>
  <c r="B44" i="4"/>
  <c r="B27" i="4"/>
  <c r="B17" i="5"/>
  <c r="D30" i="3"/>
  <c r="D33" i="3" s="1"/>
  <c r="C36" i="4"/>
  <c r="D36" i="4" s="1"/>
  <c r="C46" i="3"/>
  <c r="C48" i="3"/>
  <c r="C47" i="3"/>
  <c r="C44" i="3"/>
  <c r="C43" i="3"/>
  <c r="C41" i="3"/>
  <c r="C42" i="3"/>
  <c r="C40" i="3"/>
  <c r="C39" i="3"/>
  <c r="C38" i="3"/>
  <c r="C28" i="3"/>
  <c r="B28" i="3"/>
  <c r="B26" i="3"/>
  <c r="B14" i="3"/>
  <c r="B19" i="3" s="1"/>
  <c r="B21" i="3" s="1"/>
  <c r="E26" i="2"/>
  <c r="L29" i="2"/>
  <c r="N29" i="2" s="1"/>
  <c r="C32" i="5"/>
  <c r="C34" i="5"/>
  <c r="B41" i="3"/>
  <c r="B54" i="3" s="1"/>
  <c r="D27" i="2"/>
  <c r="D19" i="2"/>
  <c r="C20" i="5" l="1"/>
  <c r="C22" i="5" s="1"/>
  <c r="F18" i="2"/>
  <c r="G18" i="2" s="1"/>
  <c r="B30" i="3"/>
  <c r="B33" i="3" s="1"/>
  <c r="J28" i="2"/>
  <c r="E44" i="4"/>
  <c r="D35" i="4"/>
  <c r="D44" i="4" s="1"/>
  <c r="C44" i="4"/>
  <c r="C19" i="4"/>
  <c r="C20" i="4" s="1"/>
  <c r="D14" i="2"/>
  <c r="F11" i="2"/>
  <c r="B12" i="2"/>
  <c r="B20" i="5"/>
  <c r="B22" i="5" s="1"/>
  <c r="F12" i="2"/>
  <c r="G12" i="2" s="1"/>
  <c r="B13" i="2"/>
  <c r="B29" i="4"/>
  <c r="B31" i="4" s="1"/>
  <c r="C24" i="2"/>
  <c r="B19" i="4"/>
  <c r="B20" i="4" s="1"/>
  <c r="B28" i="2"/>
  <c r="B31" i="2" s="1"/>
  <c r="B33" i="2" s="1"/>
  <c r="C13" i="2"/>
  <c r="D13" i="2" s="1"/>
  <c r="D26" i="2"/>
  <c r="G13" i="2"/>
  <c r="G24" i="2"/>
  <c r="G26" i="2"/>
  <c r="C12" i="2"/>
  <c r="D12" i="2" s="1"/>
  <c r="H20" i="2"/>
  <c r="H22" i="2" s="1"/>
  <c r="D54" i="3"/>
  <c r="D24" i="2"/>
  <c r="G25" i="2"/>
  <c r="E40" i="3"/>
  <c r="C54" i="3"/>
  <c r="G15" i="2"/>
  <c r="H31" i="2"/>
  <c r="H33" i="2" s="1"/>
  <c r="E31" i="2"/>
  <c r="E33" i="2" s="1"/>
  <c r="G11" i="2"/>
  <c r="C11" i="2"/>
  <c r="C19" i="3"/>
  <c r="C21" i="3" s="1"/>
  <c r="I31" i="2"/>
  <c r="B11" i="2"/>
  <c r="F28" i="2"/>
  <c r="I20" i="2"/>
  <c r="J11" i="2"/>
  <c r="C29" i="2"/>
  <c r="D29" i="2" s="1"/>
  <c r="B29" i="2"/>
  <c r="C30" i="3"/>
  <c r="C33" i="3" s="1"/>
  <c r="C21" i="2"/>
  <c r="D21" i="2" s="1"/>
  <c r="E11" i="2"/>
  <c r="E20" i="2" s="1"/>
  <c r="E22" i="2" s="1"/>
  <c r="C28" i="2"/>
  <c r="C14" i="2"/>
  <c r="B15" i="2"/>
  <c r="C15" i="2"/>
  <c r="D15" i="2" s="1"/>
  <c r="E48" i="3"/>
  <c r="D19" i="3"/>
  <c r="D21" i="3" s="1"/>
  <c r="E54" i="3" l="1"/>
  <c r="G20" i="2"/>
  <c r="G22" i="2" s="1"/>
  <c r="F20" i="2"/>
  <c r="F22" i="2" s="1"/>
  <c r="D28" i="2"/>
  <c r="C31" i="2"/>
  <c r="J20" i="2"/>
  <c r="I22" i="2"/>
  <c r="J22" i="2" s="1"/>
  <c r="B20" i="2"/>
  <c r="B22" i="2" s="1"/>
  <c r="D11" i="2"/>
  <c r="C20" i="2"/>
  <c r="G28" i="2"/>
  <c r="F31" i="2"/>
  <c r="J31" i="2"/>
  <c r="I33" i="2"/>
  <c r="J33" i="2" s="1"/>
  <c r="C22" i="2" l="1"/>
  <c r="D22" i="2" s="1"/>
  <c r="D20" i="2"/>
  <c r="C33" i="2"/>
  <c r="D33" i="2" s="1"/>
  <c r="D31" i="2"/>
  <c r="F33" i="2"/>
  <c r="G33" i="2" s="1"/>
  <c r="G31" i="2"/>
</calcChain>
</file>

<file path=xl/sharedStrings.xml><?xml version="1.0" encoding="utf-8"?>
<sst xmlns="http://schemas.openxmlformats.org/spreadsheetml/2006/main" count="312" uniqueCount="132">
  <si>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</si>
  <si>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</si>
  <si>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</si>
  <si>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</si>
  <si>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</si>
  <si>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</si>
  <si>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</si>
  <si>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</si>
  <si>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</si>
  <si>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</si>
  <si>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</si>
  <si>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</si>
  <si>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</si>
  <si>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</si>
  <si>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</si>
  <si>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MOSONMAGYARÓVÁRI TÖBBCÉLÚ KISTÉRSÉGI TÁRSULÁS ÉS KÖLTSÉGVETÉSI SZERVEI</t>
  </si>
  <si>
    <t>kötelező</t>
  </si>
  <si>
    <t>önként</t>
  </si>
  <si>
    <t>eredeti</t>
  </si>
  <si>
    <t>Rovatrend</t>
  </si>
  <si>
    <t>előirányzat 2014.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</si>
  <si>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</si>
  <si>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</si>
  <si>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</si>
  <si>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</si>
  <si>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</si>
  <si>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</si>
  <si>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</si>
  <si>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</si>
  <si>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</si>
  <si>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</si>
  <si>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</si>
  <si>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</si>
  <si>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</si>
  <si>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</si>
  <si>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</si>
  <si>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</si>
  <si>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</si>
  <si>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</si>
  <si>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</si>
  <si>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</si>
  <si>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</si>
  <si>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</si>
  <si>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</si>
  <si>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</si>
  <si>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</si>
  <si>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</si>
  <si>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</si>
  <si>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</si>
  <si>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</si>
  <si>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</si>
  <si>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</si>
  <si>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</si>
  <si>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</si>
  <si>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</si>
  <si>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</si>
  <si>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</si>
  <si>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</si>
  <si>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</si>
  <si>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</si>
  <si>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</si>
  <si>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</si>
  <si>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</si>
  <si>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</si>
  <si>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</si>
  <si>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</si>
  <si>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</si>
  <si>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</si>
  <si>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</si>
  <si>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</si>
  <si>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</si>
  <si>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</si>
  <si>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</si>
  <si>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</si>
  <si>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</si>
  <si>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K915</t>
  </si>
  <si>
    <t>100 Ft/lakos</t>
  </si>
  <si>
    <t>20 Ft/lakos</t>
  </si>
  <si>
    <t>előirányzat 2015.</t>
  </si>
  <si>
    <t>2015. év</t>
  </si>
  <si>
    <t>200 Ft/lakos</t>
  </si>
  <si>
    <t>…./2014. (XII.09.) Kt. Határozat alapján</t>
  </si>
  <si>
    <t>10 Ft/lakos</t>
  </si>
  <si>
    <t>2014. évi</t>
  </si>
  <si>
    <t>Térségi Társulás felé befizetett tagdíjból átadásra kerülő</t>
  </si>
  <si>
    <t>K5</t>
  </si>
  <si>
    <t>K513</t>
  </si>
  <si>
    <t>módosított</t>
  </si>
  <si>
    <t>K502</t>
  </si>
  <si>
    <t>Maradvány felhasználás</t>
  </si>
  <si>
    <t>B8131</t>
  </si>
  <si>
    <t>2015. év eredeti</t>
  </si>
  <si>
    <t>Irányító szervi támogatás részletezése 2015. év eredeti és módosított</t>
  </si>
  <si>
    <t>Bérkompenzáció</t>
  </si>
  <si>
    <t>Tagönkormányzatok támogatása</t>
  </si>
  <si>
    <t>Bértámogatás és intézmény üzemeltetés támogatás mint állami támogatás</t>
  </si>
  <si>
    <t>bérkompenzáció</t>
  </si>
  <si>
    <t>Gyáó épület felújítására átadott előirányzat</t>
  </si>
  <si>
    <t>Jubileumi jutalom, felmentési bérekre átadott előirányzat</t>
  </si>
  <si>
    <t>2015. évi eredeti</t>
  </si>
  <si>
    <t>Jubileumi jutalom, felmentési bérek</t>
  </si>
  <si>
    <t>Felújításra átadott előirányzat</t>
  </si>
  <si>
    <t>Ellátottak pénzbeli juttatásai</t>
  </si>
  <si>
    <t>2015. ÉVI KÖLTSÉGVETÉSI HATÁROZATÁHOZ</t>
  </si>
  <si>
    <t>Elvonások és befizetések</t>
  </si>
  <si>
    <t>2015. ÉVI KÖLTSÉGVETÉSI HATÁROZAT MÓDOSÍTÁSA</t>
  </si>
  <si>
    <t>előirányzat 2015.07.31</t>
  </si>
  <si>
    <t>előirányzat 2015.09.30</t>
  </si>
  <si>
    <t>B813</t>
  </si>
  <si>
    <t>2015.07.31. mód.</t>
  </si>
  <si>
    <t>2015.09.30.mód.</t>
  </si>
  <si>
    <t>Szociális ágazati pótlék és kiegészítő pótlék</t>
  </si>
  <si>
    <t>2015.07.31 mód.</t>
  </si>
  <si>
    <t>2015.09.30 mód.</t>
  </si>
  <si>
    <t xml:space="preserve">módosított </t>
  </si>
  <si>
    <t>előirányzat 2015.09.31</t>
  </si>
  <si>
    <t>2015. évi költségvetéséről szóló 2/2015. (II.17.) TT. határozatot</t>
  </si>
  <si>
    <t xml:space="preserve">K5 </t>
  </si>
  <si>
    <t>előirányzat 2015.12.31.</t>
  </si>
  <si>
    <t>2015.12.31 mód.</t>
  </si>
  <si>
    <t>2015.12.31.mód.</t>
  </si>
  <si>
    <t>Egyéb nettósításhoz kapcsolódó rendezések</t>
  </si>
  <si>
    <t>előirányzat 2015.12.31</t>
  </si>
  <si>
    <t>Felhalmozási célú pénzeszköz átadás</t>
  </si>
  <si>
    <t>K89</t>
  </si>
  <si>
    <t>B16, 816, B65</t>
  </si>
  <si>
    <t>B16, B65</t>
  </si>
  <si>
    <t>B16, B64</t>
  </si>
  <si>
    <t>Hitelek kölcsönök</t>
  </si>
  <si>
    <t>B16, B64, B816</t>
  </si>
  <si>
    <t>Mosonmagyaróvár, 2016.  április 07.</t>
  </si>
  <si>
    <t>módosításáról szóló …/2016. (IV. 19.) TT. határozat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</si>
</sst>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40E]General"/>
    <numFmt numFmtId="165" formatCode="[$-40E]#,##0"/>
    <numFmt numFmtId="166" formatCode="&quot; &quot;#,##0&quot;    &quot;;&quot;-&quot;#,##0&quot;    &quot;;&quot; -&quot;00&quot;    &quot;;&quot; &quot;@&quot; &quot;"/>
    <numFmt numFmtId="167" formatCode="&quot; &quot;#,##0.00&quot;     &quot;;&quot;-&quot;#,##0.00&quot;     &quot;;&quot; -&quot;#&quot;     &quot;;&quot; &quot;@&quot; &quot;"/>
    <numFmt numFmtId="168" formatCode="&quot; &quot;#,##0.00&quot;    &quot;;&quot;-&quot;#,##0.00&quot;    &quot;;&quot; -&quot;00&quot;    &quot;;&quot; &quot;@&quot; &quot;"/>
    <numFmt numFmtId="169" formatCode="#,##0.00&quot; &quot;[$Ft-40E];[Red]&quot;-&quot;#,##0.00&quot; &quot;[$Ft-40E]"/>
  </numFmts>
  <fonts count="42" x14ac:knownFonts="1"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2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2"/>
      <color rgb="FFFF000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51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">
    <xf numFmtId="0" fontId="0" fillId="0" borderId="0"/>
    <xf numFmtId="167" fontId="19" fillId="0" borderId="0" applyBorder="0" applyProtection="0"/>
    <xf numFmtId="164" fontId="19" fillId="0" borderId="0" applyBorder="0" applyProtection="0"/>
    <xf numFmtId="168" fontId="3" fillId="0" borderId="0" applyFont="0" applyFill="0" applyBorder="0" applyAlignment="0" applyProtection="0"/>
    <xf numFmtId="0" fontId="20" fillId="0" borderId="0" applyNumberFormat="0" applyBorder="0" applyProtection="0">
      <alignment horizontal="center"/>
    </xf>
    <xf numFmtId="0" fontId="20" fillId="0" borderId="0" applyNumberFormat="0" applyBorder="0" applyProtection="0">
      <alignment horizontal="center" textRotation="90"/>
    </xf>
    <xf numFmtId="164" fontId="21" fillId="0" borderId="0" applyBorder="0" applyProtection="0"/>
    <xf numFmtId="164" fontId="21" fillId="0" borderId="0" applyBorder="0" applyProtection="0"/>
    <xf numFmtId="0" fontId="19" fillId="0" borderId="0" applyNumberFormat="0" applyBorder="0" applyProtection="0"/>
    <xf numFmtId="0" fontId="19" fillId="0" borderId="0" applyNumberFormat="0" applyBorder="0" applyProtection="0"/>
    <xf numFmtId="0" fontId="22" fillId="0" borderId="0" applyNumberFormat="0" applyBorder="0" applyProtection="0"/>
    <xf numFmtId="169" fontId="22" fillId="0" borderId="0" applyBorder="0" applyProtection="0"/>
    <xf numFmtId="0" fontId="2" fillId="0" borderId="0"/>
    <xf numFmtId="168" fontId="3" fillId="0" borderId="0" applyFont="0" applyFill="0" applyBorder="0" applyAlignment="0" applyProtection="0"/>
    <xf numFmtId="0" fontId="23" fillId="0" borderId="0"/>
    <xf numFmtId="0" fontId="1" fillId="0" borderId="0"/>
    <xf numFmtId="164" fontId="19" fillId="0" borderId="0" applyBorder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7" fillId="12" borderId="17" applyNumberFormat="0" applyAlignment="0" applyProtection="0"/>
    <xf numFmtId="0" fontId="28" fillId="0" borderId="0" applyNumberFormat="0" applyFill="0" applyBorder="0" applyAlignment="0" applyProtection="0"/>
    <xf numFmtId="0" fontId="29" fillId="0" borderId="18" applyNumberFormat="0" applyFill="0" applyAlignment="0" applyProtection="0"/>
    <xf numFmtId="0" fontId="30" fillId="0" borderId="19" applyNumberFormat="0" applyFill="0" applyAlignment="0" applyProtection="0"/>
    <xf numFmtId="0" fontId="31" fillId="0" borderId="20" applyNumberFormat="0" applyFill="0" applyAlignment="0" applyProtection="0"/>
    <xf numFmtId="0" fontId="31" fillId="0" borderId="0" applyNumberFormat="0" applyFill="0" applyBorder="0" applyAlignment="0" applyProtection="0"/>
    <xf numFmtId="0" fontId="32" fillId="21" borderId="21" applyNumberFormat="0" applyAlignment="0" applyProtection="0"/>
    <xf numFmtId="0" fontId="4" fillId="0" borderId="0"/>
    <xf numFmtId="168" fontId="2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22" applyNumberFormat="0" applyFill="0" applyAlignment="0" applyProtection="0"/>
    <xf numFmtId="0" fontId="25" fillId="22" borderId="23" applyNumberFormat="0" applyFont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6" borderId="0" applyNumberFormat="0" applyBorder="0" applyAlignment="0" applyProtection="0"/>
    <xf numFmtId="0" fontId="35" fillId="9" borderId="0" applyNumberFormat="0" applyBorder="0" applyAlignment="0" applyProtection="0"/>
    <xf numFmtId="0" fontId="36" fillId="27" borderId="24" applyNumberFormat="0" applyAlignment="0" applyProtection="0"/>
    <xf numFmtId="0" fontId="37" fillId="0" borderId="0" applyNumberFormat="0" applyFill="0" applyBorder="0" applyAlignment="0" applyProtection="0"/>
    <xf numFmtId="0" fontId="5" fillId="0" borderId="25" applyNumberFormat="0" applyFill="0" applyAlignment="0" applyProtection="0"/>
    <xf numFmtId="0" fontId="38" fillId="8" borderId="0" applyNumberFormat="0" applyBorder="0" applyAlignment="0" applyProtection="0"/>
    <xf numFmtId="0" fontId="39" fillId="28" borderId="0" applyNumberFormat="0" applyBorder="0" applyAlignment="0" applyProtection="0"/>
    <xf numFmtId="0" fontId="40" fillId="27" borderId="17" applyNumberFormat="0" applyAlignment="0" applyProtection="0"/>
  </cellStyleXfs>
  <cellXfs count="91">
    <xf numFmtId="0" fontId="0" fillId="0" borderId="0" xfId="0"/>
    <xf numFmtId="164" fontId="4" fillId="0" borderId="0" xfId="2" applyFont="1" applyFill="1" applyAlignment="1"/>
    <xf numFmtId="164" fontId="5" fillId="0" borderId="0" xfId="2" applyFont="1" applyFill="1" applyAlignment="1"/>
    <xf numFmtId="164" fontId="5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6" fillId="0" borderId="1" xfId="2" applyFont="1" applyFill="1" applyBorder="1" applyAlignment="1">
      <alignment horizontal="center" vertical="top" wrapText="1"/>
    </xf>
    <xf numFmtId="164" fontId="6" fillId="0" borderId="2" xfId="2" applyFont="1" applyFill="1" applyBorder="1" applyAlignment="1">
      <alignment horizontal="center" vertical="top" wrapText="1"/>
    </xf>
    <xf numFmtId="164" fontId="8" fillId="0" borderId="3" xfId="2" applyFont="1" applyFill="1" applyBorder="1" applyAlignment="1">
      <alignment horizontal="center" vertical="top" wrapText="1"/>
    </xf>
    <xf numFmtId="164" fontId="8" fillId="0" borderId="4" xfId="2" applyFont="1" applyFill="1" applyBorder="1" applyAlignment="1">
      <alignment horizontal="justify" vertical="top" wrapText="1"/>
    </xf>
    <xf numFmtId="164" fontId="8" fillId="0" borderId="2" xfId="2" applyFont="1" applyFill="1" applyBorder="1" applyAlignment="1">
      <alignment horizontal="justify" vertical="top" wrapText="1"/>
    </xf>
    <xf numFmtId="164" fontId="8" fillId="0" borderId="5" xfId="2" applyFont="1" applyFill="1" applyBorder="1" applyAlignment="1">
      <alignment horizontal="center" vertical="top" wrapText="1"/>
    </xf>
    <xf numFmtId="164" fontId="8" fillId="0" borderId="0" xfId="2" applyFont="1" applyFill="1" applyAlignment="1">
      <alignment horizontal="justify"/>
    </xf>
    <xf numFmtId="164" fontId="9" fillId="0" borderId="0" xfId="2" applyFont="1" applyFill="1" applyAlignment="1">
      <alignment horizontal="center"/>
    </xf>
    <xf numFmtId="164" fontId="10" fillId="2" borderId="0" xfId="2" applyFont="1" applyFill="1" applyAlignment="1">
      <alignment horizontal="center" wrapText="1"/>
    </xf>
    <xf numFmtId="164" fontId="11" fillId="0" borderId="6" xfId="2" applyFont="1" applyFill="1" applyBorder="1" applyAlignment="1">
      <alignment horizontal="center"/>
    </xf>
    <xf numFmtId="164" fontId="5" fillId="0" borderId="6" xfId="2" applyFont="1" applyFill="1" applyBorder="1" applyAlignment="1">
      <alignment horizontal="center"/>
    </xf>
    <xf numFmtId="164" fontId="11" fillId="0" borderId="7" xfId="2" applyFont="1" applyFill="1" applyBorder="1" applyAlignment="1">
      <alignment horizontal="center"/>
    </xf>
    <xf numFmtId="164" fontId="11" fillId="0" borderId="7" xfId="2" applyFont="1" applyFill="1" applyBorder="1" applyAlignment="1">
      <alignment horizontal="center" wrapText="1"/>
    </xf>
    <xf numFmtId="164" fontId="5" fillId="0" borderId="8" xfId="2" applyFont="1" applyFill="1" applyBorder="1" applyAlignment="1">
      <alignment horizontal="center"/>
    </xf>
    <xf numFmtId="164" fontId="12" fillId="0" borderId="9" xfId="2" applyFont="1" applyFill="1" applyBorder="1" applyAlignment="1"/>
    <xf numFmtId="165" fontId="12" fillId="0" borderId="9" xfId="2" applyNumberFormat="1" applyFont="1" applyFill="1" applyBorder="1" applyAlignment="1"/>
    <xf numFmtId="164" fontId="4" fillId="0" borderId="9" xfId="2" applyFont="1" applyFill="1" applyBorder="1" applyAlignment="1"/>
    <xf numFmtId="164" fontId="4" fillId="0" borderId="9" xfId="2" applyFont="1" applyFill="1" applyBorder="1" applyAlignment="1">
      <alignment wrapText="1"/>
    </xf>
    <xf numFmtId="165" fontId="12" fillId="0" borderId="10" xfId="2" applyNumberFormat="1" applyFont="1" applyFill="1" applyBorder="1" applyAlignment="1"/>
    <xf numFmtId="164" fontId="11" fillId="3" borderId="9" xfId="2" applyFont="1" applyFill="1" applyBorder="1" applyAlignment="1"/>
    <xf numFmtId="165" fontId="11" fillId="3" borderId="9" xfId="2" applyNumberFormat="1" applyFont="1" applyFill="1" applyBorder="1" applyAlignment="1"/>
    <xf numFmtId="165" fontId="11" fillId="3" borderId="10" xfId="2" applyNumberFormat="1" applyFont="1" applyFill="1" applyBorder="1" applyAlignment="1"/>
    <xf numFmtId="165" fontId="11" fillId="0" borderId="9" xfId="2" applyNumberFormat="1" applyFont="1" applyFill="1" applyBorder="1" applyAlignment="1"/>
    <xf numFmtId="165" fontId="11" fillId="0" borderId="10" xfId="2" applyNumberFormat="1" applyFont="1" applyFill="1" applyBorder="1" applyAlignment="1"/>
    <xf numFmtId="165" fontId="12" fillId="0" borderId="0" xfId="2" applyNumberFormat="1" applyFont="1" applyFill="1" applyAlignment="1"/>
    <xf numFmtId="164" fontId="13" fillId="0" borderId="9" xfId="2" applyFont="1" applyFill="1" applyBorder="1" applyAlignment="1"/>
    <xf numFmtId="164" fontId="12" fillId="0" borderId="0" xfId="2" applyFont="1" applyFill="1" applyAlignment="1"/>
    <xf numFmtId="165" fontId="11" fillId="3" borderId="0" xfId="2" applyNumberFormat="1" applyFont="1" applyFill="1" applyAlignment="1"/>
    <xf numFmtId="164" fontId="11" fillId="0" borderId="9" xfId="2" applyFont="1" applyFill="1" applyBorder="1" applyAlignment="1"/>
    <xf numFmtId="164" fontId="11" fillId="0" borderId="0" xfId="2" applyFont="1" applyFill="1" applyAlignment="1"/>
    <xf numFmtId="165" fontId="11" fillId="0" borderId="0" xfId="2" applyNumberFormat="1" applyFont="1" applyFill="1" applyAlignment="1"/>
    <xf numFmtId="164" fontId="10" fillId="2" borderId="0" xfId="2" applyFont="1" applyFill="1" applyAlignment="1"/>
    <xf numFmtId="164" fontId="10" fillId="2" borderId="0" xfId="2" applyFont="1" applyFill="1" applyAlignment="1">
      <alignment wrapText="1"/>
    </xf>
    <xf numFmtId="164" fontId="11" fillId="0" borderId="11" xfId="2" applyFont="1" applyFill="1" applyBorder="1" applyAlignment="1">
      <alignment horizontal="center"/>
    </xf>
    <xf numFmtId="164" fontId="11" fillId="0" borderId="12" xfId="2" applyFont="1" applyFill="1" applyBorder="1" applyAlignment="1">
      <alignment horizontal="center" wrapText="1"/>
    </xf>
    <xf numFmtId="49" fontId="0" fillId="0" borderId="9" xfId="0" applyNumberFormat="1" applyBorder="1"/>
    <xf numFmtId="49" fontId="0" fillId="0" borderId="9" xfId="0" applyNumberFormat="1" applyBorder="1" applyAlignment="1">
      <alignment wrapText="1"/>
    </xf>
    <xf numFmtId="166" fontId="5" fillId="0" borderId="0" xfId="3" applyNumberFormat="1" applyFont="1" applyFill="1" applyAlignment="1"/>
    <xf numFmtId="49" fontId="4" fillId="0" borderId="9" xfId="0" applyNumberFormat="1" applyFont="1" applyBorder="1" applyAlignment="1">
      <alignment wrapText="1"/>
    </xf>
    <xf numFmtId="164" fontId="9" fillId="0" borderId="0" xfId="2" applyFont="1" applyFill="1" applyAlignment="1">
      <alignment horizontal="center" wrapText="1"/>
    </xf>
    <xf numFmtId="164" fontId="4" fillId="0" borderId="0" xfId="2" applyFont="1" applyFill="1" applyAlignment="1">
      <alignment wrapText="1"/>
    </xf>
    <xf numFmtId="3" fontId="4" fillId="0" borderId="10" xfId="0" applyNumberFormat="1" applyFont="1" applyBorder="1"/>
    <xf numFmtId="164" fontId="4" fillId="0" borderId="13" xfId="2" applyFont="1" applyFill="1" applyBorder="1" applyAlignment="1"/>
    <xf numFmtId="166" fontId="4" fillId="0" borderId="13" xfId="3" applyNumberFormat="1" applyFont="1" applyFill="1" applyBorder="1" applyAlignment="1"/>
    <xf numFmtId="166" fontId="4" fillId="0" borderId="13" xfId="3" applyNumberFormat="1" applyFont="1" applyFill="1" applyBorder="1" applyAlignment="1">
      <alignment horizontal="right"/>
    </xf>
    <xf numFmtId="164" fontId="4" fillId="0" borderId="6" xfId="2" applyFont="1" applyFill="1" applyBorder="1" applyAlignment="1"/>
    <xf numFmtId="3" fontId="4" fillId="0" borderId="11" xfId="0" applyNumberFormat="1" applyFont="1" applyBorder="1"/>
    <xf numFmtId="166" fontId="4" fillId="0" borderId="14" xfId="3" applyNumberFormat="1" applyFont="1" applyFill="1" applyBorder="1" applyAlignment="1"/>
    <xf numFmtId="3" fontId="4" fillId="0" borderId="13" xfId="0" applyNumberFormat="1" applyFont="1" applyBorder="1"/>
    <xf numFmtId="0" fontId="14" fillId="0" borderId="0" xfId="0" applyFont="1" applyAlignment="1">
      <alignment wrapText="1"/>
    </xf>
    <xf numFmtId="164" fontId="4" fillId="0" borderId="13" xfId="2" applyFont="1" applyFill="1" applyBorder="1" applyAlignment="1">
      <alignment wrapText="1"/>
    </xf>
    <xf numFmtId="165" fontId="11" fillId="3" borderId="0" xfId="2" applyNumberFormat="1" applyFont="1" applyFill="1" applyBorder="1" applyAlignment="1"/>
    <xf numFmtId="165" fontId="12" fillId="0" borderId="0" xfId="2" applyNumberFormat="1" applyFont="1" applyFill="1" applyBorder="1" applyAlignment="1"/>
    <xf numFmtId="165" fontId="12" fillId="0" borderId="13" xfId="2" applyNumberFormat="1" applyFont="1" applyFill="1" applyBorder="1" applyAlignment="1"/>
    <xf numFmtId="166" fontId="4" fillId="0" borderId="0" xfId="3" applyNumberFormat="1" applyFont="1" applyFill="1" applyAlignment="1"/>
    <xf numFmtId="165" fontId="11" fillId="0" borderId="11" xfId="2" applyNumberFormat="1" applyFont="1" applyFill="1" applyBorder="1" applyAlignment="1"/>
    <xf numFmtId="165" fontId="11" fillId="0" borderId="13" xfId="2" applyNumberFormat="1" applyFont="1" applyFill="1" applyBorder="1" applyAlignment="1"/>
    <xf numFmtId="165" fontId="11" fillId="3" borderId="11" xfId="2" applyNumberFormat="1" applyFont="1" applyFill="1" applyBorder="1" applyAlignment="1"/>
    <xf numFmtId="165" fontId="12" fillId="0" borderId="15" xfId="2" applyNumberFormat="1" applyFont="1" applyFill="1" applyBorder="1" applyAlignment="1"/>
    <xf numFmtId="164" fontId="4" fillId="0" borderId="14" xfId="2" applyFont="1" applyFill="1" applyBorder="1" applyAlignment="1"/>
    <xf numFmtId="3" fontId="4" fillId="0" borderId="14" xfId="0" applyNumberFormat="1" applyFont="1" applyBorder="1"/>
    <xf numFmtId="164" fontId="4" fillId="4" borderId="0" xfId="2" applyFont="1" applyFill="1" applyAlignment="1"/>
    <xf numFmtId="164" fontId="5" fillId="4" borderId="0" xfId="2" applyFont="1" applyFill="1" applyAlignment="1"/>
    <xf numFmtId="165" fontId="11" fillId="5" borderId="9" xfId="2" applyNumberFormat="1" applyFont="1" applyFill="1" applyBorder="1" applyAlignment="1"/>
    <xf numFmtId="165" fontId="11" fillId="6" borderId="9" xfId="2" applyNumberFormat="1" applyFont="1" applyFill="1" applyBorder="1" applyAlignment="1"/>
    <xf numFmtId="165" fontId="18" fillId="0" borderId="9" xfId="2" applyNumberFormat="1" applyFont="1" applyFill="1" applyBorder="1" applyAlignment="1"/>
    <xf numFmtId="165" fontId="18" fillId="0" borderId="10" xfId="2" applyNumberFormat="1" applyFont="1" applyFill="1" applyBorder="1" applyAlignment="1"/>
    <xf numFmtId="165" fontId="18" fillId="0" borderId="11" xfId="2" applyNumberFormat="1" applyFont="1" applyFill="1" applyBorder="1" applyAlignment="1"/>
    <xf numFmtId="0" fontId="0" fillId="0" borderId="0" xfId="0"/>
    <xf numFmtId="164" fontId="9" fillId="0" borderId="0" xfId="2" applyFont="1" applyFill="1" applyAlignment="1">
      <alignment horizontal="center"/>
    </xf>
    <xf numFmtId="166" fontId="4" fillId="0" borderId="0" xfId="3" applyNumberFormat="1" applyFont="1" applyFill="1" applyBorder="1" applyAlignment="1"/>
    <xf numFmtId="168" fontId="4" fillId="0" borderId="0" xfId="3" applyFont="1" applyFill="1" applyAlignment="1"/>
    <xf numFmtId="164" fontId="4" fillId="0" borderId="0" xfId="2" applyFont="1" applyFill="1" applyBorder="1" applyAlignment="1"/>
    <xf numFmtId="164" fontId="17" fillId="0" borderId="0" xfId="2" applyFont="1" applyFill="1" applyAlignment="1"/>
    <xf numFmtId="164" fontId="16" fillId="0" borderId="0" xfId="2" applyFont="1" applyFill="1" applyBorder="1" applyAlignment="1"/>
    <xf numFmtId="0" fontId="0" fillId="0" borderId="0" xfId="0"/>
    <xf numFmtId="166" fontId="24" fillId="0" borderId="13" xfId="3" applyNumberFormat="1" applyFont="1" applyBorder="1"/>
    <xf numFmtId="165" fontId="41" fillId="29" borderId="10" xfId="2" applyNumberFormat="1" applyFont="1" applyFill="1" applyBorder="1" applyAlignment="1"/>
    <xf numFmtId="165" fontId="41" fillId="29" borderId="9" xfId="2" applyNumberFormat="1" applyFont="1" applyFill="1" applyBorder="1" applyAlignment="1"/>
    <xf numFmtId="164" fontId="7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6" fillId="0" borderId="0" xfId="2" applyFont="1" applyFill="1" applyAlignment="1">
      <alignment horizontal="center"/>
    </xf>
    <xf numFmtId="0" fontId="0" fillId="0" borderId="0" xfId="0"/>
    <xf numFmtId="164" fontId="17" fillId="0" borderId="0" xfId="2" applyFont="1" applyFill="1" applyAlignment="1">
      <alignment horizontal="center"/>
    </xf>
    <xf numFmtId="164" fontId="9" fillId="0" borderId="0" xfId="2" applyFont="1" applyFill="1" applyAlignment="1">
      <alignment horizontal="center"/>
    </xf>
    <xf numFmtId="164" fontId="10" fillId="2" borderId="16" xfId="2" applyFont="1" applyFill="1" applyBorder="1" applyAlignment="1">
      <alignment horizontal="center" wrapText="1"/>
    </xf>
  </cellXfs>
  <cellStyles count="60">
    <cellStyle name="20% - 1. jelölőszín 2" xfId="17"/>
    <cellStyle name="20% - 2. jelölőszín 2" xfId="18"/>
    <cellStyle name="20% - 3. jelölőszín 2" xfId="19"/>
    <cellStyle name="20% - 4. jelölőszín 2" xfId="20"/>
    <cellStyle name="20% - 5. jelölőszín 2" xfId="21"/>
    <cellStyle name="20% - 6. jelölőszín 2" xfId="22"/>
    <cellStyle name="40% - 1. jelölőszín 2" xfId="23"/>
    <cellStyle name="40% - 2. jelölőszín 2" xfId="24"/>
    <cellStyle name="40% - 3. jelölőszín 2" xfId="25"/>
    <cellStyle name="40% - 4. jelölőszín 2" xfId="26"/>
    <cellStyle name="40% - 5. jelölőszín 2" xfId="27"/>
    <cellStyle name="40% - 6. jelölőszín 2" xfId="28"/>
    <cellStyle name="60% - 1. jelölőszín 2" xfId="29"/>
    <cellStyle name="60% - 2. jelölőszín 2" xfId="30"/>
    <cellStyle name="60% - 3. jelölőszín 2" xfId="31"/>
    <cellStyle name="60% - 4. jelölőszín 2" xfId="32"/>
    <cellStyle name="60% - 5. jelölőszín 2" xfId="33"/>
    <cellStyle name="60% - 6. jelölőszín 2" xfId="34"/>
    <cellStyle name="Bevitel 2" xfId="35"/>
    <cellStyle name="Cím 2" xfId="36"/>
    <cellStyle name="Címsor 1 2" xfId="37"/>
    <cellStyle name="Címsor 2 2" xfId="38"/>
    <cellStyle name="Címsor 3 2" xfId="39"/>
    <cellStyle name="Címsor 4 2" xfId="40"/>
    <cellStyle name="Ellenőrzőcella 2" xfId="41"/>
    <cellStyle name="Excel Built-in Comma" xfId="1"/>
    <cellStyle name="Excel Built-in Normal" xfId="2"/>
    <cellStyle name="Excel Built-in Normal 2" xfId="42"/>
    <cellStyle name="Excel Built-in Normal 3" xfId="16"/>
    <cellStyle name="Ezres" xfId="3" builtinId="3" customBuiltin="1"/>
    <cellStyle name="Ezres 2" xfId="13"/>
    <cellStyle name="Ezres 3" xfId="43"/>
    <cellStyle name="Figyelmeztetés 2" xfId="44"/>
    <cellStyle name="Heading" xfId="4"/>
    <cellStyle name="Heading1" xfId="5"/>
    <cellStyle name="Hivatkozott cella 2" xfId="45"/>
    <cellStyle name="Jegyzet 2" xfId="46"/>
    <cellStyle name="Jelölőszín (1) 2" xfId="47"/>
    <cellStyle name="Jelölőszín (2) 2" xfId="48"/>
    <cellStyle name="Jelölőszín (3) 2" xfId="49"/>
    <cellStyle name="Jelölőszín (4) 2" xfId="50"/>
    <cellStyle name="Jelölőszín (5) 2" xfId="51"/>
    <cellStyle name="Jelölőszín (6) 2" xfId="52"/>
    <cellStyle name="Jó 2" xfId="53"/>
    <cellStyle name="Kimenet 2" xfId="54"/>
    <cellStyle name="Magyarázó szöveg 2" xfId="55"/>
    <cellStyle name="Normál" xfId="0" builtinId="0" customBuiltin="1"/>
    <cellStyle name="Normál 2" xfId="6"/>
    <cellStyle name="Normál 2 2" xfId="7"/>
    <cellStyle name="Normál 3" xfId="8"/>
    <cellStyle name="Normál 4" xfId="9"/>
    <cellStyle name="Normál 5" xfId="14"/>
    <cellStyle name="Normál 6" xfId="12"/>
    <cellStyle name="Normál 7" xfId="15"/>
    <cellStyle name="Összesen 2" xfId="56"/>
    <cellStyle name="Result" xfId="10"/>
    <cellStyle name="Result2" xfId="11"/>
    <cellStyle name="Rossz 2" xfId="57"/>
    <cellStyle name="Semleges 2" xfId="58"/>
    <cellStyle name="Számítás 2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2015\koncepci&#243;\&#225;tn&#233;zett%20tervek\T&#225;rsul&#225;s%20k&#246;lts&#233;gvet&#233;si%20terv%202015.%20&#233;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3IQVGSZ2\2015%20%20normat&#237;va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KESZI költségvetés"/>
      <sheetName val="KGYCSSZK költségvetés"/>
      <sheetName val="Munka2"/>
      <sheetName val="Munka3"/>
    </sheetNames>
    <sheetDataSet>
      <sheetData sheetId="0" refreshError="1">
        <row r="6">
          <cell r="C6">
            <v>1000000</v>
          </cell>
        </row>
        <row r="11">
          <cell r="C11">
            <v>511700</v>
          </cell>
        </row>
        <row r="19">
          <cell r="C19">
            <v>12821300</v>
          </cell>
        </row>
        <row r="24">
          <cell r="C24">
            <v>6127000</v>
          </cell>
        </row>
        <row r="25">
          <cell r="C25">
            <v>18060000</v>
          </cell>
        </row>
        <row r="33">
          <cell r="C33">
            <v>459599366</v>
          </cell>
        </row>
        <row r="44">
          <cell r="C44">
            <v>10091000</v>
          </cell>
        </row>
        <row r="45">
          <cell r="C45">
            <v>1900332</v>
          </cell>
        </row>
        <row r="46">
          <cell r="C46">
            <v>481128034</v>
          </cell>
        </row>
        <row r="47">
          <cell r="C47">
            <v>321246496</v>
          </cell>
        </row>
        <row r="65">
          <cell r="C65">
            <v>5000000</v>
          </cell>
        </row>
      </sheetData>
      <sheetData sheetId="1" refreshError="1">
        <row r="9">
          <cell r="D9">
            <v>286274</v>
          </cell>
        </row>
        <row r="10">
          <cell r="D10">
            <v>77778</v>
          </cell>
        </row>
        <row r="16">
          <cell r="D16">
            <v>188626</v>
          </cell>
        </row>
        <row r="17">
          <cell r="D17">
            <v>700</v>
          </cell>
        </row>
        <row r="18">
          <cell r="D18">
            <v>2435</v>
          </cell>
        </row>
        <row r="21">
          <cell r="D21">
            <v>30591</v>
          </cell>
        </row>
        <row r="22">
          <cell r="D22">
            <v>197930</v>
          </cell>
        </row>
        <row r="23">
          <cell r="D23">
            <v>4102</v>
          </cell>
        </row>
        <row r="24">
          <cell r="D24">
            <v>2435</v>
          </cell>
        </row>
        <row r="25">
          <cell r="D25">
            <v>231946</v>
          </cell>
        </row>
        <row r="26">
          <cell r="D26">
            <v>12615</v>
          </cell>
        </row>
        <row r="27">
          <cell r="D27">
            <v>72513</v>
          </cell>
        </row>
        <row r="28">
          <cell r="D28">
            <v>3681</v>
          </cell>
        </row>
      </sheetData>
      <sheetData sheetId="2" refreshError="1">
        <row r="4">
          <cell r="F4">
            <v>97862314</v>
          </cell>
        </row>
        <row r="5">
          <cell r="F5">
            <v>24495052</v>
          </cell>
        </row>
        <row r="19">
          <cell r="F19">
            <v>18677000</v>
          </cell>
        </row>
        <row r="20">
          <cell r="F20">
            <v>420000</v>
          </cell>
        </row>
        <row r="23">
          <cell r="F23">
            <v>370000</v>
          </cell>
        </row>
        <row r="24">
          <cell r="F24">
            <v>700000</v>
          </cell>
        </row>
        <row r="25">
          <cell r="F25">
            <v>1540000</v>
          </cell>
        </row>
        <row r="27">
          <cell r="F27">
            <v>138844366</v>
          </cell>
        </row>
        <row r="31">
          <cell r="F31">
            <v>7282500</v>
          </cell>
        </row>
        <row r="32">
          <cell r="F32">
            <v>42261266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1 (2)"/>
    </sheetNames>
    <sheetDataSet>
      <sheetData sheetId="0" refreshError="1">
        <row r="6">
          <cell r="E6">
            <v>20547110</v>
          </cell>
        </row>
        <row r="7">
          <cell r="E7">
            <v>21847500</v>
          </cell>
        </row>
        <row r="8">
          <cell r="E8">
            <v>20547110</v>
          </cell>
        </row>
        <row r="9">
          <cell r="E9">
            <v>15196800</v>
          </cell>
        </row>
        <row r="18">
          <cell r="E18">
            <v>25941696</v>
          </cell>
        </row>
        <row r="19">
          <cell r="E19">
            <v>36192000</v>
          </cell>
        </row>
        <row r="20">
          <cell r="E20">
            <v>6213000</v>
          </cell>
        </row>
        <row r="21">
          <cell r="E21">
            <v>6050000</v>
          </cell>
        </row>
        <row r="22">
          <cell r="E22">
            <v>3520000</v>
          </cell>
        </row>
        <row r="23">
          <cell r="E23">
            <v>15400000</v>
          </cell>
        </row>
        <row r="24">
          <cell r="E24">
            <v>8903520</v>
          </cell>
        </row>
        <row r="25">
          <cell r="E25">
            <v>20607400</v>
          </cell>
        </row>
        <row r="26">
          <cell r="E26">
            <v>83393280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>
      <selection activeCell="A13" sqref="A13:B13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85" t="s">
        <v>1</v>
      </c>
      <c r="B5" s="85"/>
      <c r="C5" s="2"/>
    </row>
    <row r="6" spans="1:256" x14ac:dyDescent="0.25">
      <c r="A6" s="85" t="s">
        <v>103</v>
      </c>
      <c r="B6" s="85"/>
    </row>
    <row r="7" spans="1:256" x14ac:dyDescent="0.25">
      <c r="A7" s="2"/>
    </row>
    <row r="8" spans="1:256" x14ac:dyDescent="0.25">
      <c r="A8" s="2"/>
    </row>
    <row r="11" spans="1:256" x14ac:dyDescent="0.25">
      <c r="A11" s="85" t="s">
        <v>2</v>
      </c>
      <c r="B11" s="85"/>
    </row>
    <row r="12" spans="1:256" x14ac:dyDescent="0.25">
      <c r="A12" s="85" t="s">
        <v>116</v>
      </c>
      <c r="B12" s="85"/>
    </row>
    <row r="13" spans="1:256" customFormat="1" x14ac:dyDescent="0.25">
      <c r="A13" s="85" t="s">
        <v>131</v>
      </c>
      <c r="B13" s="8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86" t="s">
        <v>3</v>
      </c>
      <c r="B15" s="86"/>
    </row>
    <row r="16" spans="1:256" ht="15.75" x14ac:dyDescent="0.25">
      <c r="A16" s="84" t="s">
        <v>4</v>
      </c>
      <c r="B16" s="84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68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5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Y43"/>
  <sheetViews>
    <sheetView topLeftCell="C1" workbookViewId="0">
      <selection activeCell="T12" sqref="T12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9" width="11.875" style="1" bestFit="1" customWidth="1"/>
    <col min="10" max="11" width="11.375" style="1" bestFit="1" customWidth="1"/>
    <col min="12" max="14" width="11.375" style="1" customWidth="1"/>
    <col min="15" max="16384" width="8.75" style="1"/>
  </cols>
  <sheetData>
    <row r="1" spans="1:259" x14ac:dyDescent="0.25">
      <c r="B1" s="88" t="s">
        <v>12</v>
      </c>
      <c r="C1" s="88"/>
      <c r="D1" s="3"/>
      <c r="E1" s="3"/>
      <c r="F1" s="3"/>
      <c r="G1" s="3"/>
      <c r="H1" s="3"/>
    </row>
    <row r="2" spans="1:259" x14ac:dyDescent="0.25">
      <c r="B2" s="2"/>
    </row>
    <row r="3" spans="1:259" x14ac:dyDescent="0.25">
      <c r="A3" s="85" t="s">
        <v>1</v>
      </c>
      <c r="B3" s="85"/>
      <c r="C3" s="85"/>
      <c r="D3" s="3"/>
      <c r="E3" s="3"/>
      <c r="F3" s="3"/>
      <c r="G3" s="3"/>
      <c r="H3" s="3"/>
    </row>
    <row r="4" spans="1:259" x14ac:dyDescent="0.25">
      <c r="A4" s="85" t="s">
        <v>103</v>
      </c>
      <c r="B4" s="85"/>
      <c r="C4" s="85"/>
      <c r="D4" s="3"/>
      <c r="E4" s="3"/>
      <c r="F4" s="3"/>
      <c r="G4" s="3"/>
      <c r="H4" s="3"/>
    </row>
    <row r="5" spans="1:259" ht="15.75" x14ac:dyDescent="0.25">
      <c r="A5" s="89" t="s">
        <v>13</v>
      </c>
      <c r="B5" s="89"/>
      <c r="C5" s="89"/>
      <c r="D5" s="12"/>
      <c r="E5" s="12"/>
      <c r="F5" s="12"/>
      <c r="G5" s="12"/>
      <c r="H5" s="12"/>
    </row>
    <row r="6" spans="1:259" ht="15.75" x14ac:dyDescent="0.25">
      <c r="A6" s="89" t="s">
        <v>14</v>
      </c>
      <c r="B6" s="89"/>
      <c r="C6" s="89"/>
      <c r="D6" s="12"/>
      <c r="E6" s="12"/>
      <c r="F6" s="12"/>
      <c r="G6" s="12"/>
      <c r="H6" s="12"/>
    </row>
    <row r="7" spans="1:259" ht="15.75" x14ac:dyDescent="0.25">
      <c r="A7" s="12"/>
      <c r="B7" s="12"/>
      <c r="C7" s="12"/>
      <c r="D7" s="12"/>
      <c r="E7" s="12"/>
      <c r="F7" s="12"/>
      <c r="G7" s="12"/>
      <c r="H7" s="12"/>
    </row>
    <row r="8" spans="1:259" ht="15.75" customHeight="1" x14ac:dyDescent="0.25">
      <c r="A8" s="90" t="s">
        <v>15</v>
      </c>
      <c r="B8" s="90"/>
      <c r="C8" s="90"/>
      <c r="D8" s="13" t="s">
        <v>16</v>
      </c>
      <c r="E8" s="13" t="s">
        <v>17</v>
      </c>
      <c r="F8" s="13"/>
      <c r="G8" s="13" t="s">
        <v>16</v>
      </c>
      <c r="H8" s="13" t="s">
        <v>17</v>
      </c>
      <c r="I8" s="66"/>
      <c r="J8" s="67" t="s">
        <v>16</v>
      </c>
      <c r="K8" s="67" t="s">
        <v>17</v>
      </c>
      <c r="L8" s="67"/>
      <c r="M8" s="67" t="s">
        <v>16</v>
      </c>
      <c r="N8" s="67" t="s">
        <v>17</v>
      </c>
    </row>
    <row r="9" spans="1:259" ht="15.75" x14ac:dyDescent="0.25">
      <c r="A9" s="14" t="s">
        <v>6</v>
      </c>
      <c r="B9" s="14" t="s">
        <v>18</v>
      </c>
      <c r="C9" s="14" t="s">
        <v>18</v>
      </c>
      <c r="D9" s="14" t="s">
        <v>18</v>
      </c>
      <c r="E9" s="14" t="s">
        <v>18</v>
      </c>
      <c r="F9" s="14" t="s">
        <v>87</v>
      </c>
      <c r="G9" s="14" t="s">
        <v>87</v>
      </c>
      <c r="H9" s="14" t="s">
        <v>87</v>
      </c>
      <c r="I9" s="14" t="s">
        <v>114</v>
      </c>
      <c r="J9" s="14" t="s">
        <v>87</v>
      </c>
      <c r="K9" s="14" t="s">
        <v>87</v>
      </c>
      <c r="L9" s="14" t="s">
        <v>114</v>
      </c>
      <c r="M9" s="14" t="s">
        <v>87</v>
      </c>
      <c r="N9" s="14" t="s">
        <v>87</v>
      </c>
      <c r="O9" s="15" t="s">
        <v>19</v>
      </c>
    </row>
    <row r="10" spans="1:259" ht="33.75" customHeight="1" x14ac:dyDescent="0.25">
      <c r="A10" s="16"/>
      <c r="B10" s="17" t="s">
        <v>20</v>
      </c>
      <c r="C10" s="17" t="s">
        <v>78</v>
      </c>
      <c r="D10" s="17" t="s">
        <v>78</v>
      </c>
      <c r="E10" s="17" t="s">
        <v>78</v>
      </c>
      <c r="F10" s="17" t="s">
        <v>106</v>
      </c>
      <c r="G10" s="17" t="s">
        <v>106</v>
      </c>
      <c r="H10" s="17" t="s">
        <v>106</v>
      </c>
      <c r="I10" s="17" t="s">
        <v>107</v>
      </c>
      <c r="J10" s="17" t="s">
        <v>107</v>
      </c>
      <c r="K10" s="17" t="s">
        <v>115</v>
      </c>
      <c r="L10" s="17" t="s">
        <v>122</v>
      </c>
      <c r="M10" s="17" t="s">
        <v>122</v>
      </c>
      <c r="N10" s="17" t="s">
        <v>122</v>
      </c>
      <c r="O10" s="18" t="s">
        <v>79</v>
      </c>
    </row>
    <row r="11" spans="1:259" ht="15.75" x14ac:dyDescent="0.25">
      <c r="A11" s="19" t="s">
        <v>21</v>
      </c>
      <c r="B11" s="20">
        <f>'KESZI ktg. mérleg'!B12+'KGYCSSZK ktg. mérleg'!B12+'társulás ktg. mérleg'!B12</f>
        <v>363679.31400000001</v>
      </c>
      <c r="C11" s="20">
        <f>'KESZI ktg. mérleg'!C12+'KGYCSSZK ktg. mérleg'!B12+'társulás ktg. mérleg'!B12</f>
        <v>385136.31400000001</v>
      </c>
      <c r="D11" s="20">
        <f t="shared" ref="D11:D21" si="0">SUM(C11-E11)</f>
        <v>384136.31400000001</v>
      </c>
      <c r="E11" s="20">
        <f>'társulás ktg. mérleg'!B12</f>
        <v>1000</v>
      </c>
      <c r="F11" s="20">
        <f>'KESZI ktg. mérleg'!D12+'KGYCSSZK ktg. mérleg'!C12+'társulás ktg. mérleg'!C12</f>
        <v>396602</v>
      </c>
      <c r="G11" s="20">
        <f>F11-H11</f>
        <v>395602</v>
      </c>
      <c r="H11" s="20">
        <f>'társulás ktg. mérleg'!C12</f>
        <v>1000</v>
      </c>
      <c r="I11" s="20">
        <f>'KESZI ktg. mérleg'!E12+'KGYCSSZK ktg. mérleg'!D12+'társulás ktg. mérleg'!D12</f>
        <v>413848</v>
      </c>
      <c r="J11" s="20">
        <f>I11-K11</f>
        <v>412848</v>
      </c>
      <c r="K11" s="20">
        <v>1000</v>
      </c>
      <c r="L11" s="20">
        <f>'KESZI ktg. mérleg'!F12+'KGYCSSZK ktg. mérleg'!E12+'társulás ktg. mérleg'!E12</f>
        <v>420421</v>
      </c>
      <c r="M11" s="20">
        <f>'KESZI ktg. mérleg'!F12+'KGYCSSZK ktg. mérleg'!E12</f>
        <v>419421</v>
      </c>
      <c r="N11" s="20">
        <f>L11-M11</f>
        <v>1000</v>
      </c>
      <c r="O11" s="21" t="s">
        <v>22</v>
      </c>
    </row>
    <row r="12" spans="1:259" ht="15.75" x14ac:dyDescent="0.25">
      <c r="A12" s="19" t="s">
        <v>23</v>
      </c>
      <c r="B12" s="20">
        <f>'KESZI ktg. mérleg'!B13+'KGYCSSZK ktg. mérleg'!B13+'társulás ktg. mérleg'!B13</f>
        <v>94973.751999999993</v>
      </c>
      <c r="C12" s="20">
        <f>'KESZI ktg. mérleg'!C13+'KGYCSSZK ktg. mérleg'!B13+'társulás ktg. mérleg'!B13</f>
        <v>102784.75199999999</v>
      </c>
      <c r="D12" s="20">
        <f t="shared" si="0"/>
        <v>102273.052</v>
      </c>
      <c r="E12" s="20">
        <f>'társulás ktg. mérleg'!B13</f>
        <v>511.7</v>
      </c>
      <c r="F12" s="20">
        <f>'KESZI ktg. mérleg'!D13+'KGYCSSZK ktg. mérleg'!C13+'társulás ktg. mérleg'!C13</f>
        <v>105085.7</v>
      </c>
      <c r="G12" s="20">
        <f t="shared" ref="G12:G21" si="1">F12-H12</f>
        <v>104574</v>
      </c>
      <c r="H12" s="20">
        <f>'társulás ktg. mérleg'!C13</f>
        <v>511.7</v>
      </c>
      <c r="I12" s="20">
        <f>'KESZI ktg. mérleg'!E13+'KGYCSSZK ktg. mérleg'!D13+'társulás ktg. mérleg'!D13</f>
        <v>109715</v>
      </c>
      <c r="J12" s="20">
        <f t="shared" ref="J12:J22" si="2">I12-K12</f>
        <v>109203</v>
      </c>
      <c r="K12" s="20">
        <v>512</v>
      </c>
      <c r="L12" s="20">
        <f>'KESZI ktg. mérleg'!F13+'KGYCSSZK ktg. mérleg'!E13+'társulás ktg. mérleg'!E13</f>
        <v>106310</v>
      </c>
      <c r="M12" s="20">
        <f>'KESZI ktg. mérleg'!F13+'KGYCSSZK ktg. mérleg'!E13</f>
        <v>105798</v>
      </c>
      <c r="N12" s="20">
        <f t="shared" ref="N12:N19" si="3">L12-M12</f>
        <v>512</v>
      </c>
      <c r="O12" s="21" t="s">
        <v>24</v>
      </c>
    </row>
    <row r="13" spans="1:259" ht="15.75" x14ac:dyDescent="0.25">
      <c r="A13" s="19" t="s">
        <v>25</v>
      </c>
      <c r="B13" s="20">
        <f>'KESZI ktg. mérleg'!B14+'KGYCSSZK ktg. mérleg'!B14+'társulás ktg. mérleg'!B14</f>
        <v>231544.3</v>
      </c>
      <c r="C13" s="20">
        <f>'KESZI ktg. mérleg'!C14+'KGYCSSZK ktg. mérleg'!B14+'társulás ktg. mérleg'!B14</f>
        <v>220124.3</v>
      </c>
      <c r="D13" s="20">
        <f t="shared" si="0"/>
        <v>207303</v>
      </c>
      <c r="E13" s="20">
        <f>'társulás ktg. mérleg'!B14</f>
        <v>12821.3</v>
      </c>
      <c r="F13" s="20">
        <f>'KESZI ktg. mérleg'!D14+'KGYCSSZK ktg. mérleg'!C14+'társulás ktg. mérleg'!C14</f>
        <v>226748</v>
      </c>
      <c r="G13" s="20">
        <f t="shared" si="1"/>
        <v>208567</v>
      </c>
      <c r="H13" s="20">
        <f>'társulás ktg. mérleg'!C14</f>
        <v>18181</v>
      </c>
      <c r="I13" s="20">
        <f>'KESZI ktg. mérleg'!E14+'KGYCSSZK ktg. mérleg'!D14+'társulás ktg. mérleg'!D14</f>
        <v>225629</v>
      </c>
      <c r="J13" s="20">
        <f t="shared" si="2"/>
        <v>208905</v>
      </c>
      <c r="K13" s="20">
        <v>16724</v>
      </c>
      <c r="L13" s="20">
        <f>'KESZI ktg. mérleg'!F14+'KGYCSSZK ktg. mérleg'!E14+'társulás ktg. mérleg'!E14</f>
        <v>229839</v>
      </c>
      <c r="M13" s="20">
        <f>'KESZI ktg. mérleg'!F14+'KGYCSSZK ktg. mérleg'!E14</f>
        <v>208022</v>
      </c>
      <c r="N13" s="20">
        <f t="shared" si="3"/>
        <v>21817</v>
      </c>
      <c r="O13" s="21" t="s">
        <v>26</v>
      </c>
    </row>
    <row r="14" spans="1:259" ht="15.75" x14ac:dyDescent="0.25">
      <c r="A14" s="19" t="s">
        <v>102</v>
      </c>
      <c r="B14" s="20"/>
      <c r="C14" s="20">
        <f>'KESZI ktg. mérleg'!C15+'KGYCSSZK ktg. mérleg'!B15</f>
        <v>1120</v>
      </c>
      <c r="D14" s="20">
        <f>'KESZI ktg. mérleg'!D15+'KGYCSSZK ktg. mérleg'!C15</f>
        <v>1120</v>
      </c>
      <c r="E14" s="20">
        <v>0</v>
      </c>
      <c r="F14" s="20">
        <f>'KESZI ktg. mérleg'!D15+'KGYCSSZK ktg. mérleg'!C15</f>
        <v>1120</v>
      </c>
      <c r="G14" s="20">
        <v>0</v>
      </c>
      <c r="H14" s="20">
        <v>0</v>
      </c>
      <c r="I14" s="20">
        <v>1120</v>
      </c>
      <c r="J14" s="20">
        <f t="shared" si="2"/>
        <v>1120</v>
      </c>
      <c r="K14" s="20">
        <v>0</v>
      </c>
      <c r="L14" s="20">
        <f>'KESZI ktg. mérleg'!F15+'KGYCSSZK ktg. mérleg'!E15</f>
        <v>1270</v>
      </c>
      <c r="M14" s="20">
        <f>'KESZI ktg. mérleg'!F15+'KGYCSSZK ktg. mérleg'!E15</f>
        <v>1270</v>
      </c>
      <c r="N14" s="20">
        <f t="shared" si="3"/>
        <v>0</v>
      </c>
      <c r="O14" s="21" t="s">
        <v>28</v>
      </c>
    </row>
    <row r="15" spans="1:259" ht="15.75" x14ac:dyDescent="0.25">
      <c r="A15" s="19" t="s">
        <v>27</v>
      </c>
      <c r="B15" s="20">
        <f>'KESZI ktg. mérleg'!B15+'KGYCSSZK ktg. mérleg'!B15+'társulás ktg. mérleg'!B15</f>
        <v>7117</v>
      </c>
      <c r="C15" s="20">
        <f>'társulás ktg. mérleg'!B15</f>
        <v>6127</v>
      </c>
      <c r="D15" s="20">
        <f t="shared" si="0"/>
        <v>0</v>
      </c>
      <c r="E15" s="20">
        <f>'társulás ktg. mérleg'!B15</f>
        <v>6127</v>
      </c>
      <c r="F15" s="20">
        <f>'társulás ktg. mérleg'!C15</f>
        <v>8247</v>
      </c>
      <c r="G15" s="20">
        <f t="shared" si="1"/>
        <v>0</v>
      </c>
      <c r="H15" s="20">
        <f>'társulás ktg. mérleg'!C15</f>
        <v>8247</v>
      </c>
      <c r="I15" s="20">
        <v>7584</v>
      </c>
      <c r="J15" s="20">
        <f t="shared" si="2"/>
        <v>0</v>
      </c>
      <c r="K15" s="20">
        <v>7584</v>
      </c>
      <c r="L15" s="20">
        <f>'KESZI ktg. mérleg'!F16+'KGYCSSZK ktg. mérleg'!E16+'társulás ktg. mérleg'!E15-2632</f>
        <v>7584</v>
      </c>
      <c r="M15" s="20">
        <v>0</v>
      </c>
      <c r="N15" s="20">
        <f t="shared" si="3"/>
        <v>7584</v>
      </c>
      <c r="O15" s="21" t="s">
        <v>117</v>
      </c>
    </row>
    <row r="16" spans="1:259" customFormat="1" ht="15.75" x14ac:dyDescent="0.25">
      <c r="A16" s="19" t="s">
        <v>104</v>
      </c>
      <c r="B16" s="20"/>
      <c r="C16" s="20">
        <v>0</v>
      </c>
      <c r="D16" s="20"/>
      <c r="E16" s="20"/>
      <c r="F16" s="20">
        <f>'KESZI ktg. mérleg'!D16+'KGYCSSZK ktg. mérleg'!C16</f>
        <v>512</v>
      </c>
      <c r="G16" s="20">
        <f t="shared" si="1"/>
        <v>512</v>
      </c>
      <c r="H16" s="20">
        <v>0</v>
      </c>
      <c r="I16" s="20">
        <v>2632</v>
      </c>
      <c r="J16" s="20">
        <v>2632</v>
      </c>
      <c r="K16" s="20">
        <v>0</v>
      </c>
      <c r="L16" s="20">
        <v>2632</v>
      </c>
      <c r="M16" s="20">
        <v>2632</v>
      </c>
      <c r="N16" s="20">
        <f t="shared" si="3"/>
        <v>0</v>
      </c>
      <c r="O16" s="21" t="s">
        <v>88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</row>
    <row r="17" spans="1:259" s="73" customFormat="1" ht="15.75" x14ac:dyDescent="0.25">
      <c r="A17" s="19" t="s">
        <v>123</v>
      </c>
      <c r="B17" s="20"/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f>'társulás ktg. mérleg'!E16</f>
        <v>1827</v>
      </c>
      <c r="M17" s="20">
        <v>0</v>
      </c>
      <c r="N17" s="20">
        <f t="shared" si="3"/>
        <v>1827</v>
      </c>
      <c r="O17" s="21" t="s">
        <v>124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</row>
    <row r="18" spans="1:259" ht="30" x14ac:dyDescent="0.25">
      <c r="A18" s="19" t="s">
        <v>29</v>
      </c>
      <c r="B18" s="20">
        <v>0</v>
      </c>
      <c r="C18" s="20">
        <f>'KESZI ktg. mérleg'!C17+'KGYCSSZK ktg. mérleg'!B17+'társulás ktg. mérleg'!B18</f>
        <v>2435</v>
      </c>
      <c r="D18" s="20">
        <f t="shared" si="0"/>
        <v>2435</v>
      </c>
      <c r="E18" s="20">
        <v>0</v>
      </c>
      <c r="F18" s="20">
        <f>'KESZI ktg. mérleg'!D17+'KGYCSSZK ktg. mérleg'!C17+'társulás ktg. mérleg'!C18</f>
        <v>7893</v>
      </c>
      <c r="G18" s="20">
        <f t="shared" si="1"/>
        <v>7893</v>
      </c>
      <c r="H18" s="20">
        <v>0</v>
      </c>
      <c r="I18" s="20">
        <v>8549</v>
      </c>
      <c r="J18" s="20">
        <f t="shared" si="2"/>
        <v>8549</v>
      </c>
      <c r="K18" s="20">
        <v>0</v>
      </c>
      <c r="L18" s="20">
        <f>'KESZI ktg. mérleg'!F17+'KGYCSSZK ktg. mérleg'!E17+'társulás ktg. mérleg'!E18</f>
        <v>13106</v>
      </c>
      <c r="M18" s="20">
        <f>'KESZI ktg. mérleg'!F17+'KGYCSSZK ktg. mérleg'!E17</f>
        <v>13106</v>
      </c>
      <c r="N18" s="20">
        <f t="shared" si="3"/>
        <v>0</v>
      </c>
      <c r="O18" s="22" t="s">
        <v>30</v>
      </c>
    </row>
    <row r="19" spans="1:259" ht="15.75" x14ac:dyDescent="0.25">
      <c r="A19" s="19" t="s">
        <v>31</v>
      </c>
      <c r="B19" s="23">
        <v>0</v>
      </c>
      <c r="C19" s="23">
        <v>0</v>
      </c>
      <c r="D19" s="20">
        <f t="shared" si="0"/>
        <v>0</v>
      </c>
      <c r="E19" s="20">
        <v>0</v>
      </c>
      <c r="F19" s="20">
        <v>0</v>
      </c>
      <c r="G19" s="20">
        <f t="shared" si="1"/>
        <v>0</v>
      </c>
      <c r="H19" s="20">
        <v>0</v>
      </c>
      <c r="I19" s="20">
        <v>0</v>
      </c>
      <c r="J19" s="20">
        <f t="shared" si="2"/>
        <v>0</v>
      </c>
      <c r="K19" s="20">
        <v>0</v>
      </c>
      <c r="L19" s="20">
        <v>0</v>
      </c>
      <c r="M19" s="20">
        <v>0</v>
      </c>
      <c r="N19" s="20">
        <f t="shared" si="3"/>
        <v>0</v>
      </c>
      <c r="O19" s="21" t="s">
        <v>32</v>
      </c>
    </row>
    <row r="20" spans="1:259" ht="15.75" x14ac:dyDescent="0.25">
      <c r="A20" s="24" t="s">
        <v>33</v>
      </c>
      <c r="B20" s="26">
        <f>SUM(B11:B19)</f>
        <v>697314.36599999992</v>
      </c>
      <c r="C20" s="26">
        <f>SUM(C11:C19)</f>
        <v>717727.36599999992</v>
      </c>
      <c r="D20" s="69">
        <f t="shared" si="0"/>
        <v>697267.36599999992</v>
      </c>
      <c r="E20" s="26">
        <f>SUM(E11:E19)</f>
        <v>20460</v>
      </c>
      <c r="F20" s="56">
        <f>SUM(F11:F19)</f>
        <v>746207.7</v>
      </c>
      <c r="G20" s="56">
        <f>SUM(G11:G19)</f>
        <v>717148</v>
      </c>
      <c r="H20" s="56">
        <f>SUM(H11:H19)</f>
        <v>27939.7</v>
      </c>
      <c r="I20" s="68">
        <f>SUM(I11:I19)</f>
        <v>769077</v>
      </c>
      <c r="J20" s="68">
        <f t="shared" si="2"/>
        <v>743257</v>
      </c>
      <c r="K20" s="56">
        <f>SUM(K11:K19)</f>
        <v>25820</v>
      </c>
      <c r="L20" s="56">
        <f>SUM(L11:L19)</f>
        <v>782989</v>
      </c>
      <c r="M20" s="56">
        <f t="shared" ref="M20:N20" si="4">SUM(M11:M19)</f>
        <v>750249</v>
      </c>
      <c r="N20" s="56">
        <f t="shared" si="4"/>
        <v>32740</v>
      </c>
    </row>
    <row r="21" spans="1:259" ht="15.75" x14ac:dyDescent="0.25">
      <c r="A21" s="19" t="s">
        <v>34</v>
      </c>
      <c r="B21" s="28">
        <f>'társulás ktg. mérleg'!B21</f>
        <v>18060</v>
      </c>
      <c r="C21" s="28">
        <f>'társulás ktg. mérleg'!B21</f>
        <v>18060</v>
      </c>
      <c r="D21" s="27">
        <f t="shared" si="0"/>
        <v>17013</v>
      </c>
      <c r="E21" s="28">
        <v>1047</v>
      </c>
      <c r="F21" s="60">
        <f>'társulás ktg. mérleg'!C21</f>
        <v>23631</v>
      </c>
      <c r="G21" s="20">
        <f t="shared" si="1"/>
        <v>22584</v>
      </c>
      <c r="H21" s="60">
        <v>1047</v>
      </c>
      <c r="I21" s="27">
        <v>20524</v>
      </c>
      <c r="J21" s="20">
        <f t="shared" si="2"/>
        <v>0</v>
      </c>
      <c r="K21" s="60">
        <v>20524</v>
      </c>
      <c r="L21" s="60">
        <f>'társulás ktg. mérleg'!E21</f>
        <v>16602</v>
      </c>
      <c r="M21" s="60">
        <v>16602</v>
      </c>
      <c r="N21" s="60">
        <v>0</v>
      </c>
      <c r="O21" s="50" t="s">
        <v>86</v>
      </c>
    </row>
    <row r="22" spans="1:259" ht="15.75" x14ac:dyDescent="0.25">
      <c r="A22" s="30" t="s">
        <v>37</v>
      </c>
      <c r="B22" s="27">
        <f>B20+B21</f>
        <v>715374.36599999992</v>
      </c>
      <c r="C22" s="27">
        <f>C20+C21</f>
        <v>735787.36599999992</v>
      </c>
      <c r="D22" s="27">
        <f>SUM(C22-E22)</f>
        <v>714280.36599999992</v>
      </c>
      <c r="E22" s="28">
        <f>SUM(E20+E21)</f>
        <v>21507</v>
      </c>
      <c r="F22" s="61">
        <f>SUM(F20:F21)</f>
        <v>769838.7</v>
      </c>
      <c r="G22" s="61">
        <f>SUM(G20:G21)</f>
        <v>739732</v>
      </c>
      <c r="H22" s="61">
        <f>SUM(H20:H21)</f>
        <v>28986.7</v>
      </c>
      <c r="I22" s="27">
        <f>SUM(I20:I21)</f>
        <v>789601</v>
      </c>
      <c r="J22" s="27">
        <f t="shared" si="2"/>
        <v>743257</v>
      </c>
      <c r="K22" s="61">
        <f>SUM(K20:K21)</f>
        <v>46344</v>
      </c>
      <c r="L22" s="61">
        <f>L20+L21</f>
        <v>799591</v>
      </c>
      <c r="M22" s="61">
        <f t="shared" ref="M22:N22" si="5">M20+M21</f>
        <v>766851</v>
      </c>
      <c r="N22" s="61">
        <f t="shared" si="5"/>
        <v>32740</v>
      </c>
      <c r="O22" s="47"/>
    </row>
    <row r="23" spans="1:259" ht="15.75" x14ac:dyDescent="0.25">
      <c r="A23" s="31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259" ht="15.75" x14ac:dyDescent="0.25">
      <c r="A24" s="19" t="s">
        <v>38</v>
      </c>
      <c r="B24" s="20">
        <f>'KESZI ktg. mérleg'!B23+'KGYCSSZK ktg. mérleg'!B22+'társulás ktg. mérleg'!B24</f>
        <v>203341</v>
      </c>
      <c r="C24" s="20">
        <f>'KESZI ktg. mérleg'!C23+'KGYCSSZK ktg. mérleg'!B22+'társulás ktg. mérleg'!B24</f>
        <v>200170</v>
      </c>
      <c r="D24" s="20">
        <f t="shared" ref="D24:D31" si="6">C24-E24</f>
        <v>200170</v>
      </c>
      <c r="E24" s="20">
        <f>'társulás ktg. mérleg'!B24</f>
        <v>0</v>
      </c>
      <c r="F24" s="20">
        <f>'KESZI ktg. mérleg'!D23+'KGYCSSZK ktg. mérleg'!C22+'társulás ktg. mérleg'!C24</f>
        <v>210335</v>
      </c>
      <c r="G24" s="20">
        <f>F24-H24</f>
        <v>199755</v>
      </c>
      <c r="H24" s="20">
        <f>'társulás ktg. mérleg'!C24</f>
        <v>10580</v>
      </c>
      <c r="I24" s="20">
        <f>'KESZI ktg. mérleg'!E23+'KGYCSSZK ktg. mérleg'!D22+'társulás ktg. mérleg'!D24</f>
        <v>210335</v>
      </c>
      <c r="J24" s="20">
        <f>I24-K24</f>
        <v>199755</v>
      </c>
      <c r="K24" s="20">
        <v>10580</v>
      </c>
      <c r="L24" s="20">
        <f>'KESZI ktg. mérleg'!F23+'KGYCSSZK ktg. mérleg'!E22+'társulás ktg. mérleg'!E24</f>
        <v>220901</v>
      </c>
      <c r="M24" s="20">
        <f>'KESZI ktg. mérleg'!F23+'KGYCSSZK ktg. mérleg'!E22</f>
        <v>211709</v>
      </c>
      <c r="N24" s="20">
        <f>L24-M24</f>
        <v>9192</v>
      </c>
      <c r="O24" s="21" t="s">
        <v>39</v>
      </c>
    </row>
    <row r="25" spans="1:259" ht="15.75" x14ac:dyDescent="0.25">
      <c r="A25" s="19" t="s">
        <v>40</v>
      </c>
      <c r="B25" s="20">
        <v>0</v>
      </c>
      <c r="C25" s="20">
        <f>'KESZI ktg. mérleg'!C24+'KGYCSSZK ktg. mérleg'!B23+'társulás ktg. mérleg'!B25</f>
        <v>0</v>
      </c>
      <c r="D25" s="20">
        <f t="shared" si="6"/>
        <v>0</v>
      </c>
      <c r="E25" s="20">
        <v>0</v>
      </c>
      <c r="F25" s="20">
        <f>'társulás ktg. mérleg'!C25</f>
        <v>0</v>
      </c>
      <c r="G25" s="20">
        <f t="shared" ref="G25:G33" si="7">F25-H25</f>
        <v>0</v>
      </c>
      <c r="H25" s="20">
        <f>'KGYCSSZK ktg. mérleg'!C23</f>
        <v>0</v>
      </c>
      <c r="I25" s="20">
        <f>'KESZI ktg. mérleg'!E24+'KGYCSSZK ktg. mérleg'!D23+'társulás ktg. mérleg'!D25</f>
        <v>0</v>
      </c>
      <c r="J25" s="20">
        <f t="shared" ref="J25:J33" si="8">I25-K25</f>
        <v>0</v>
      </c>
      <c r="K25" s="20">
        <v>0</v>
      </c>
      <c r="L25" s="20">
        <v>0</v>
      </c>
      <c r="M25" s="20">
        <v>0</v>
      </c>
      <c r="N25" s="20">
        <f t="shared" ref="N25:N30" si="9">L25-M25</f>
        <v>0</v>
      </c>
      <c r="O25" s="21"/>
    </row>
    <row r="26" spans="1:259" ht="45" x14ac:dyDescent="0.25">
      <c r="A26" s="19" t="s">
        <v>41</v>
      </c>
      <c r="B26" s="20">
        <v>0</v>
      </c>
      <c r="C26" s="20">
        <f>'KESZI ktg. mérleg'!C25+'KGYCSSZK ktg. mérleg'!B24+'társulás ktg. mérleg'!B26</f>
        <v>0</v>
      </c>
      <c r="D26" s="20">
        <f t="shared" si="6"/>
        <v>0</v>
      </c>
      <c r="E26" s="20">
        <f>'társulás ktg. mérleg'!C26</f>
        <v>0</v>
      </c>
      <c r="F26" s="20">
        <f>'KESZI ktg. mérleg'!D24+'KGYCSSZK ktg. mérleg'!C23+'társulás ktg. mérleg'!C26</f>
        <v>0</v>
      </c>
      <c r="G26" s="20">
        <f t="shared" si="7"/>
        <v>0</v>
      </c>
      <c r="H26" s="20">
        <f>'KGYCSSZK ktg. mérleg'!C24</f>
        <v>0</v>
      </c>
      <c r="I26" s="20">
        <f>'KESZI ktg. mérleg'!E25+'KGYCSSZK ktg. mérleg'!D24+'társulás ktg. mérleg'!D26</f>
        <v>0</v>
      </c>
      <c r="J26" s="20">
        <f t="shared" si="8"/>
        <v>0</v>
      </c>
      <c r="K26" s="20">
        <v>0</v>
      </c>
      <c r="L26" s="20">
        <v>0</v>
      </c>
      <c r="M26" s="20">
        <v>0</v>
      </c>
      <c r="N26" s="20">
        <f t="shared" si="9"/>
        <v>0</v>
      </c>
      <c r="O26" s="22" t="s">
        <v>42</v>
      </c>
    </row>
    <row r="27" spans="1:259" ht="15.75" x14ac:dyDescent="0.25">
      <c r="A27" s="19" t="s">
        <v>43</v>
      </c>
      <c r="B27" s="20">
        <v>0</v>
      </c>
      <c r="C27" s="20">
        <v>0</v>
      </c>
      <c r="D27" s="20">
        <f t="shared" si="6"/>
        <v>0</v>
      </c>
      <c r="E27" s="20">
        <v>0</v>
      </c>
      <c r="F27" s="20">
        <v>0</v>
      </c>
      <c r="G27" s="20">
        <f t="shared" si="7"/>
        <v>0</v>
      </c>
      <c r="H27" s="20">
        <v>0</v>
      </c>
      <c r="I27" s="20">
        <v>0</v>
      </c>
      <c r="J27" s="20">
        <f t="shared" si="8"/>
        <v>0</v>
      </c>
      <c r="K27" s="20">
        <v>0</v>
      </c>
      <c r="L27" s="20">
        <v>0</v>
      </c>
      <c r="M27" s="20">
        <v>0</v>
      </c>
      <c r="N27" s="20">
        <f t="shared" si="9"/>
        <v>0</v>
      </c>
      <c r="O27" s="21"/>
    </row>
    <row r="28" spans="1:259" ht="30" x14ac:dyDescent="0.25">
      <c r="A28" s="19" t="s">
        <v>44</v>
      </c>
      <c r="B28" s="20">
        <f>'KESZI ktg. mérleg'!B26+'KGYCSSZK ktg. mérleg'!B25+'társulás ktg. mérleg'!B28</f>
        <v>536637.36599999992</v>
      </c>
      <c r="C28" s="20">
        <f>'KESZI ktg. mérleg'!C26+'KGYCSSZK ktg. mérleg'!B25+'társulás ktg. mérleg'!B28</f>
        <v>533182.36599999992</v>
      </c>
      <c r="D28" s="20">
        <f t="shared" si="6"/>
        <v>511675.36599999992</v>
      </c>
      <c r="E28" s="20">
        <f>18407+3100</f>
        <v>21507</v>
      </c>
      <c r="F28" s="20">
        <f>'KESZI ktg. mérleg'!D26+'KGYCSSZK ktg. mérleg'!C25+'társulás ktg. mérleg'!C28</f>
        <v>554994</v>
      </c>
      <c r="G28" s="20">
        <f t="shared" si="7"/>
        <v>536587</v>
      </c>
      <c r="H28" s="20">
        <f>17360+1047</f>
        <v>18407</v>
      </c>
      <c r="I28" s="20">
        <f>'KESZI ktg. mérleg'!E26+'KGYCSSZK ktg. mérleg'!D25+'társulás ktg. mérleg'!D28</f>
        <v>574756</v>
      </c>
      <c r="J28" s="20">
        <f>I28-K28</f>
        <v>540130</v>
      </c>
      <c r="K28" s="20">
        <f>536309-501683</f>
        <v>34626</v>
      </c>
      <c r="L28" s="20">
        <f>'KESZI ktg. mérleg'!F26+'KGYCSSZK ktg. mérleg'!E25+'társulás ktg. mérleg'!E28</f>
        <v>574179</v>
      </c>
      <c r="M28" s="20">
        <f>583648-2784-13769-11953</f>
        <v>555142</v>
      </c>
      <c r="N28" s="20">
        <f t="shared" si="9"/>
        <v>19037</v>
      </c>
      <c r="O28" s="22" t="s">
        <v>129</v>
      </c>
    </row>
    <row r="29" spans="1:259" ht="15.75" x14ac:dyDescent="0.25">
      <c r="A29" s="19" t="s">
        <v>46</v>
      </c>
      <c r="B29" s="20">
        <f>'társulás ktg. mérleg'!B29</f>
        <v>321246.49599999998</v>
      </c>
      <c r="C29" s="20">
        <f>'KESZI ktg. mérleg'!C27+'KGYCSSZK ktg. mérleg'!B26+'társulás ktg. mérleg'!B29</f>
        <v>331337.49599999998</v>
      </c>
      <c r="D29" s="20">
        <f t="shared" si="6"/>
        <v>331337.49599999998</v>
      </c>
      <c r="E29" s="20">
        <v>0</v>
      </c>
      <c r="F29" s="20">
        <f>'KESZI ktg. mérleg'!D27+'KGYCSSZK ktg. mérleg'!C26+'társulás ktg. mérleg'!C29</f>
        <v>350673</v>
      </c>
      <c r="G29" s="20">
        <f t="shared" si="7"/>
        <v>350673</v>
      </c>
      <c r="H29" s="20">
        <v>0</v>
      </c>
      <c r="I29" s="70">
        <v>359220</v>
      </c>
      <c r="J29" s="20">
        <v>359220</v>
      </c>
      <c r="K29" s="70">
        <v>0</v>
      </c>
      <c r="L29" s="70">
        <f>'társulás ktg. mérleg'!E29</f>
        <v>371122</v>
      </c>
      <c r="M29" s="70">
        <v>371122</v>
      </c>
      <c r="N29" s="20">
        <f t="shared" si="9"/>
        <v>0</v>
      </c>
      <c r="O29" s="21"/>
    </row>
    <row r="30" spans="1:259" ht="15.75" x14ac:dyDescent="0.25">
      <c r="A30" s="19" t="s">
        <v>47</v>
      </c>
      <c r="B30" s="23">
        <v>0</v>
      </c>
      <c r="C30" s="20">
        <f>'KESZI ktg. mérleg'!C29+'KGYCSSZK ktg. mérleg'!B28+'társulás ktg. mérleg'!B30</f>
        <v>0</v>
      </c>
      <c r="D30" s="20">
        <f t="shared" si="6"/>
        <v>0</v>
      </c>
      <c r="E30" s="23">
        <v>0</v>
      </c>
      <c r="F30" s="23">
        <v>0</v>
      </c>
      <c r="G30" s="20">
        <f t="shared" si="7"/>
        <v>0</v>
      </c>
      <c r="H30" s="20">
        <f>'KGYCSSZK ktg. mérleg'!C28</f>
        <v>0</v>
      </c>
      <c r="I30" s="20">
        <f>'KESZI ktg. mérleg'!E29+'KGYCSSZK ktg. mérleg'!D28+'társulás ktg. mérleg'!D30</f>
        <v>0</v>
      </c>
      <c r="J30" s="20">
        <f t="shared" si="8"/>
        <v>0</v>
      </c>
      <c r="K30" s="20">
        <v>0</v>
      </c>
      <c r="L30" s="20">
        <v>0</v>
      </c>
      <c r="M30" s="20">
        <v>0</v>
      </c>
      <c r="N30" s="20">
        <f t="shared" si="9"/>
        <v>0</v>
      </c>
      <c r="O30" s="21" t="s">
        <v>48</v>
      </c>
    </row>
    <row r="31" spans="1:259" ht="15.75" x14ac:dyDescent="0.25">
      <c r="A31" s="24" t="s">
        <v>49</v>
      </c>
      <c r="B31" s="26">
        <f>B28+B24</f>
        <v>739978.36599999992</v>
      </c>
      <c r="C31" s="62">
        <f>C28+C24</f>
        <v>733352.36599999992</v>
      </c>
      <c r="D31" s="32">
        <f t="shared" si="6"/>
        <v>711845.36599999992</v>
      </c>
      <c r="E31" s="62">
        <f>E28+E24</f>
        <v>21507</v>
      </c>
      <c r="F31" s="56">
        <f>SUM(F30+F28+F27+F26+F25+F24)</f>
        <v>765329</v>
      </c>
      <c r="G31" s="68">
        <f t="shared" si="7"/>
        <v>736342</v>
      </c>
      <c r="H31" s="56">
        <f>SUM(H24+H25+H26+H28)</f>
        <v>28987</v>
      </c>
      <c r="I31" s="68">
        <f>I24+I25+I26+I28</f>
        <v>785091</v>
      </c>
      <c r="J31" s="68">
        <f t="shared" si="8"/>
        <v>739885</v>
      </c>
      <c r="K31" s="68">
        <f>K24+K25+K26+K28</f>
        <v>45206</v>
      </c>
      <c r="L31" s="68">
        <f>L24+L25+L26+L28+1</f>
        <v>795081</v>
      </c>
      <c r="M31" s="68">
        <f>M24+M25+M26+M28</f>
        <v>766851</v>
      </c>
      <c r="N31" s="68">
        <f>N24+N25+N26+N28+1</f>
        <v>28230</v>
      </c>
      <c r="O31" s="21"/>
    </row>
    <row r="32" spans="1:259" ht="15.75" x14ac:dyDescent="0.25">
      <c r="A32" s="19" t="s">
        <v>89</v>
      </c>
      <c r="B32" s="23">
        <v>0</v>
      </c>
      <c r="C32" s="58">
        <f>'KESZI ktg. mérleg'!C31+'KGYCSSZK ktg. mérleg'!B30+'társulás ktg. mérleg'!B33</f>
        <v>2435</v>
      </c>
      <c r="D32" s="58"/>
      <c r="E32" s="58"/>
      <c r="F32" s="58">
        <f>'KESZI ktg. mérleg'!D31+'KGYCSSZK ktg. mérleg'!C30+'társulás ktg. mérleg'!C33</f>
        <v>4510</v>
      </c>
      <c r="G32" s="20">
        <f t="shared" si="7"/>
        <v>4510</v>
      </c>
      <c r="H32" s="58">
        <v>0</v>
      </c>
      <c r="I32" s="20">
        <f>'KESZI ktg. mérleg'!E31+'KGYCSSZK ktg. mérleg'!D30+'társulás ktg. mérleg'!D33</f>
        <v>4510</v>
      </c>
      <c r="J32" s="20">
        <f>I32-K32</f>
        <v>1252</v>
      </c>
      <c r="K32" s="20">
        <v>3258</v>
      </c>
      <c r="L32" s="20">
        <f>'KESZI ktg. mérleg'!F31+'KGYCSSZK ktg. mérleg'!E30+'társulás ktg. mérleg'!E33</f>
        <v>4510</v>
      </c>
      <c r="M32" s="20">
        <v>0</v>
      </c>
      <c r="N32" s="20">
        <f>L32-M32</f>
        <v>4510</v>
      </c>
      <c r="O32" s="21" t="s">
        <v>108</v>
      </c>
    </row>
    <row r="33" spans="1:15" ht="15.75" x14ac:dyDescent="0.25">
      <c r="A33" s="33" t="s">
        <v>51</v>
      </c>
      <c r="B33" s="28">
        <f>B31+B32</f>
        <v>739978.36599999992</v>
      </c>
      <c r="C33" s="61">
        <f>C31+C32</f>
        <v>735787.36599999992</v>
      </c>
      <c r="D33" s="61">
        <f>C33-E33</f>
        <v>714280.36599999992</v>
      </c>
      <c r="E33" s="61">
        <f>E31+E32</f>
        <v>21507</v>
      </c>
      <c r="F33" s="61">
        <f>SUM(F31:F32)</f>
        <v>769839</v>
      </c>
      <c r="G33" s="27">
        <f t="shared" si="7"/>
        <v>740852</v>
      </c>
      <c r="H33" s="61">
        <f>SUM(H31:H32)</f>
        <v>28987</v>
      </c>
      <c r="I33" s="27">
        <f>SUM(I31:I32)</f>
        <v>789601</v>
      </c>
      <c r="J33" s="27">
        <f t="shared" si="8"/>
        <v>741137</v>
      </c>
      <c r="K33" s="27">
        <f>SUM(K31:K32)</f>
        <v>48464</v>
      </c>
      <c r="L33" s="27">
        <f>SUM(L31:L32)</f>
        <v>799591</v>
      </c>
      <c r="M33" s="27">
        <f>M31+M32</f>
        <v>766851</v>
      </c>
      <c r="N33" s="27">
        <f>N31+N32</f>
        <v>32740</v>
      </c>
      <c r="O33" s="21"/>
    </row>
    <row r="34" spans="1:15" ht="15.75" x14ac:dyDescent="0.25">
      <c r="A34" s="34"/>
      <c r="B34" s="35"/>
      <c r="C34" s="35"/>
      <c r="D34" s="35"/>
      <c r="E34" s="35"/>
      <c r="F34" s="35"/>
      <c r="G34" s="35"/>
      <c r="H34" s="35"/>
    </row>
    <row r="36" spans="1:15" x14ac:dyDescent="0.25">
      <c r="A36" s="80" t="s">
        <v>130</v>
      </c>
    </row>
    <row r="37" spans="1:15" x14ac:dyDescent="0.25">
      <c r="B37" s="1" t="s">
        <v>81</v>
      </c>
    </row>
    <row r="38" spans="1:15" x14ac:dyDescent="0.25">
      <c r="A38" s="87"/>
      <c r="B38" s="87"/>
      <c r="C38" s="87"/>
      <c r="D38"/>
      <c r="E38"/>
      <c r="F38"/>
      <c r="G38"/>
      <c r="H38"/>
    </row>
    <row r="39" spans="1:15" x14ac:dyDescent="0.25">
      <c r="B39" s="1" t="s">
        <v>80</v>
      </c>
    </row>
    <row r="40" spans="1:15" x14ac:dyDescent="0.25">
      <c r="B40" s="1" t="s">
        <v>76</v>
      </c>
    </row>
    <row r="41" spans="1:15" x14ac:dyDescent="0.25">
      <c r="B41" s="1" t="s">
        <v>77</v>
      </c>
    </row>
    <row r="42" spans="1:15" x14ac:dyDescent="0.25">
      <c r="B42" s="1" t="s">
        <v>82</v>
      </c>
    </row>
    <row r="43" spans="1:15" x14ac:dyDescent="0.25">
      <c r="B43" s="1" t="s">
        <v>76</v>
      </c>
    </row>
  </sheetData>
  <mergeCells count="7">
    <mergeCell ref="A38:C38"/>
    <mergeCell ref="B1:C1"/>
    <mergeCell ref="A3:C3"/>
    <mergeCell ref="A4:C4"/>
    <mergeCell ref="A5:C5"/>
    <mergeCell ref="A6:C6"/>
    <mergeCell ref="A8:C8"/>
  </mergeCells>
  <phoneticPr fontId="15" type="noConversion"/>
  <pageMargins left="0.70826771653543308" right="0.70826771653543308" top="1.1417322834645671" bottom="1.1417322834645671" header="0.74803149606299213" footer="0.74803149606299213"/>
  <pageSetup paperSize="9" scale="6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6"/>
  <sheetViews>
    <sheetView topLeftCell="A7" workbookViewId="0">
      <selection activeCell="H23" sqref="H23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4.75" style="1" bestFit="1" customWidth="1"/>
    <col min="6" max="6" width="14.75" style="1" customWidth="1"/>
    <col min="7" max="7" width="15.125" style="1" customWidth="1"/>
    <col min="8" max="8" width="11.625" style="1" customWidth="1"/>
    <col min="9" max="16384" width="8.75" style="1"/>
  </cols>
  <sheetData>
    <row r="1" spans="1:257" x14ac:dyDescent="0.25">
      <c r="B1" s="88" t="s">
        <v>52</v>
      </c>
      <c r="C1" s="88"/>
      <c r="D1" s="3"/>
    </row>
    <row r="2" spans="1:257" x14ac:dyDescent="0.25">
      <c r="B2" s="2"/>
    </row>
    <row r="3" spans="1:257" x14ac:dyDescent="0.25">
      <c r="A3" s="85" t="s">
        <v>1</v>
      </c>
      <c r="B3" s="85"/>
      <c r="C3" s="85"/>
      <c r="D3" s="3"/>
    </row>
    <row r="4" spans="1:257" x14ac:dyDescent="0.25">
      <c r="A4" s="85" t="s">
        <v>105</v>
      </c>
      <c r="B4" s="85"/>
      <c r="C4" s="85"/>
      <c r="D4" s="3"/>
    </row>
    <row r="5" spans="1:257" ht="15.75" x14ac:dyDescent="0.25">
      <c r="A5" s="89" t="s">
        <v>13</v>
      </c>
      <c r="B5" s="89"/>
      <c r="C5" s="89"/>
      <c r="D5" s="12"/>
    </row>
    <row r="6" spans="1:257" ht="15.75" x14ac:dyDescent="0.25">
      <c r="A6" s="89" t="s">
        <v>14</v>
      </c>
      <c r="B6" s="89"/>
      <c r="C6" s="89"/>
      <c r="D6" s="12"/>
    </row>
    <row r="8" spans="1:257" ht="15.75" x14ac:dyDescent="0.25">
      <c r="B8" s="12"/>
      <c r="C8" s="12" t="s">
        <v>53</v>
      </c>
      <c r="D8" s="12" t="s">
        <v>53</v>
      </c>
      <c r="E8" s="12" t="s">
        <v>53</v>
      </c>
      <c r="F8" s="74" t="s">
        <v>53</v>
      </c>
    </row>
    <row r="9" spans="1:257" x14ac:dyDescent="0.25">
      <c r="A9" s="36" t="s">
        <v>54</v>
      </c>
      <c r="B9" s="36"/>
      <c r="C9" s="37"/>
      <c r="D9" s="37"/>
      <c r="E9" s="66"/>
      <c r="F9" s="66"/>
    </row>
    <row r="10" spans="1:257" ht="15.75" x14ac:dyDescent="0.25">
      <c r="A10" s="14" t="s">
        <v>6</v>
      </c>
      <c r="B10" s="38" t="s">
        <v>18</v>
      </c>
      <c r="C10" s="38" t="s">
        <v>18</v>
      </c>
      <c r="D10" s="38" t="s">
        <v>87</v>
      </c>
      <c r="E10" s="38" t="s">
        <v>87</v>
      </c>
      <c r="F10" s="38" t="s">
        <v>87</v>
      </c>
      <c r="G10" s="15" t="s">
        <v>19</v>
      </c>
    </row>
    <row r="11" spans="1:257" ht="31.5" customHeight="1" x14ac:dyDescent="0.25">
      <c r="A11" s="16"/>
      <c r="B11" s="39" t="s">
        <v>20</v>
      </c>
      <c r="C11" s="39" t="s">
        <v>78</v>
      </c>
      <c r="D11" s="39" t="s">
        <v>106</v>
      </c>
      <c r="E11" s="39" t="s">
        <v>107</v>
      </c>
      <c r="F11" s="39" t="s">
        <v>118</v>
      </c>
      <c r="G11" s="18" t="s">
        <v>79</v>
      </c>
    </row>
    <row r="12" spans="1:257" ht="15.75" x14ac:dyDescent="0.25">
      <c r="A12" s="19" t="s">
        <v>21</v>
      </c>
      <c r="B12" s="23">
        <v>264817</v>
      </c>
      <c r="C12" s="23">
        <f>'[1]KESZI költségvetés'!$D$9</f>
        <v>286274</v>
      </c>
      <c r="D12" s="23">
        <v>293850</v>
      </c>
      <c r="E12" s="71">
        <v>304650</v>
      </c>
      <c r="F12" s="71">
        <v>310168</v>
      </c>
      <c r="G12" s="21" t="s">
        <v>22</v>
      </c>
    </row>
    <row r="13" spans="1:257" ht="15.75" x14ac:dyDescent="0.25">
      <c r="A13" s="19" t="s">
        <v>23</v>
      </c>
      <c r="B13" s="23">
        <v>69967</v>
      </c>
      <c r="C13" s="23">
        <f>'[1]KESZI költségvetés'!$D$10</f>
        <v>77778</v>
      </c>
      <c r="D13" s="23">
        <v>79250</v>
      </c>
      <c r="E13" s="71">
        <v>82139</v>
      </c>
      <c r="F13" s="71">
        <v>78396</v>
      </c>
      <c r="G13" s="21" t="s">
        <v>24</v>
      </c>
    </row>
    <row r="14" spans="1:257" ht="15.75" x14ac:dyDescent="0.25">
      <c r="A14" s="19" t="s">
        <v>25</v>
      </c>
      <c r="B14" s="23">
        <f>SUM(200046)</f>
        <v>200046</v>
      </c>
      <c r="C14" s="23">
        <f>'[1]KESZI költségvetés'!$D$16</f>
        <v>188626</v>
      </c>
      <c r="D14" s="23">
        <v>187866</v>
      </c>
      <c r="E14" s="71">
        <v>188204</v>
      </c>
      <c r="F14" s="71">
        <v>187802</v>
      </c>
      <c r="G14" s="21" t="s">
        <v>26</v>
      </c>
    </row>
    <row r="15" spans="1:257" ht="15.75" x14ac:dyDescent="0.25">
      <c r="A15" s="19" t="s">
        <v>102</v>
      </c>
      <c r="B15" s="23">
        <v>570</v>
      </c>
      <c r="C15" s="23">
        <f>'[1]KESZI költségvetés'!$D$17</f>
        <v>700</v>
      </c>
      <c r="D15" s="23">
        <v>700</v>
      </c>
      <c r="E15" s="23">
        <v>700</v>
      </c>
      <c r="F15" s="23">
        <v>850</v>
      </c>
      <c r="G15" s="21" t="s">
        <v>28</v>
      </c>
    </row>
    <row r="16" spans="1:257" customFormat="1" ht="15.75" x14ac:dyDescent="0.25">
      <c r="A16" s="19" t="s">
        <v>104</v>
      </c>
      <c r="B16" s="23"/>
      <c r="C16" s="23">
        <v>0</v>
      </c>
      <c r="D16" s="23">
        <v>344</v>
      </c>
      <c r="E16" s="23">
        <v>344</v>
      </c>
      <c r="F16" s="23">
        <v>344</v>
      </c>
      <c r="G16" s="21" t="s">
        <v>88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7" ht="15.75" x14ac:dyDescent="0.25">
      <c r="A17" s="19" t="s">
        <v>29</v>
      </c>
      <c r="B17" s="23">
        <v>0</v>
      </c>
      <c r="C17" s="23">
        <f>'[1]KESZI költségvetés'!$D$18</f>
        <v>2435</v>
      </c>
      <c r="D17" s="23">
        <f>1350+2187</f>
        <v>3537</v>
      </c>
      <c r="E17" s="23">
        <v>4193</v>
      </c>
      <c r="F17" s="23">
        <f>3225+2944</f>
        <v>6169</v>
      </c>
      <c r="G17" s="22" t="s">
        <v>30</v>
      </c>
    </row>
    <row r="18" spans="1:7" ht="15.75" x14ac:dyDescent="0.25">
      <c r="A18" s="19" t="s">
        <v>31</v>
      </c>
      <c r="B18" s="23">
        <v>0</v>
      </c>
      <c r="C18" s="23">
        <v>0</v>
      </c>
      <c r="D18" s="23">
        <v>0</v>
      </c>
      <c r="E18" s="23">
        <v>0</v>
      </c>
      <c r="F18" s="23"/>
      <c r="G18" s="21" t="s">
        <v>32</v>
      </c>
    </row>
    <row r="19" spans="1:7" ht="15.75" x14ac:dyDescent="0.25">
      <c r="A19" s="24" t="s">
        <v>33</v>
      </c>
      <c r="B19" s="25">
        <f t="shared" ref="B19:F19" si="0">SUM(B12:B18)</f>
        <v>535400</v>
      </c>
      <c r="C19" s="25">
        <f t="shared" si="0"/>
        <v>555813</v>
      </c>
      <c r="D19" s="26">
        <f t="shared" si="0"/>
        <v>565547</v>
      </c>
      <c r="E19" s="26">
        <f t="shared" si="0"/>
        <v>580230</v>
      </c>
      <c r="F19" s="26">
        <f t="shared" si="0"/>
        <v>583729</v>
      </c>
      <c r="G19" s="21"/>
    </row>
    <row r="20" spans="1:7" ht="15.75" hidden="1" x14ac:dyDescent="0.25">
      <c r="A20" s="19" t="s">
        <v>35</v>
      </c>
      <c r="B20" s="20" t="s">
        <v>36</v>
      </c>
      <c r="C20" s="20" t="s">
        <v>36</v>
      </c>
      <c r="D20" s="57"/>
      <c r="E20" s="20"/>
      <c r="F20" s="20"/>
      <c r="G20" s="21"/>
    </row>
    <row r="21" spans="1:7" ht="15.75" x14ac:dyDescent="0.25">
      <c r="A21" s="30" t="s">
        <v>37</v>
      </c>
      <c r="B21" s="27">
        <f t="shared" ref="B21:F21" si="1">SUM(B19)</f>
        <v>535400</v>
      </c>
      <c r="C21" s="27">
        <f t="shared" si="1"/>
        <v>555813</v>
      </c>
      <c r="D21" s="28">
        <f t="shared" si="1"/>
        <v>565547</v>
      </c>
      <c r="E21" s="28">
        <f t="shared" si="1"/>
        <v>580230</v>
      </c>
      <c r="F21" s="28">
        <f t="shared" si="1"/>
        <v>583729</v>
      </c>
      <c r="G21" s="21"/>
    </row>
    <row r="22" spans="1:7" ht="15.75" x14ac:dyDescent="0.25">
      <c r="A22" s="31"/>
      <c r="B22" s="29"/>
      <c r="C22" s="29"/>
      <c r="D22" s="29"/>
      <c r="E22" s="29"/>
      <c r="F22" s="29"/>
    </row>
    <row r="23" spans="1:7" ht="15.75" x14ac:dyDescent="0.25">
      <c r="A23" s="19" t="s">
        <v>38</v>
      </c>
      <c r="B23" s="23">
        <v>201101</v>
      </c>
      <c r="C23" s="23">
        <f>'[1]KESZI költségvetés'!$D$22</f>
        <v>197930</v>
      </c>
      <c r="D23" s="23">
        <v>197930</v>
      </c>
      <c r="E23" s="23">
        <v>197930</v>
      </c>
      <c r="F23" s="82">
        <f>197930+10473</f>
        <v>208403</v>
      </c>
      <c r="G23" s="21" t="s">
        <v>39</v>
      </c>
    </row>
    <row r="24" spans="1:7" ht="30" x14ac:dyDescent="0.25">
      <c r="A24" s="19" t="s">
        <v>41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2" t="s">
        <v>42</v>
      </c>
    </row>
    <row r="25" spans="1:7" ht="15.75" x14ac:dyDescent="0.25">
      <c r="A25" s="19" t="s">
        <v>43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1"/>
    </row>
    <row r="26" spans="1:7" ht="15.75" x14ac:dyDescent="0.25">
      <c r="A26" s="19" t="s">
        <v>44</v>
      </c>
      <c r="B26" s="23">
        <f>SUM(50763-12615)</f>
        <v>38148</v>
      </c>
      <c r="C26" s="23">
        <f>'[1]KESZI költségvetés'!$D$21+'[1]KESZI költségvetés'!$D$23</f>
        <v>34693</v>
      </c>
      <c r="D26" s="23">
        <v>35243</v>
      </c>
      <c r="E26" s="23">
        <v>35783</v>
      </c>
      <c r="F26" s="82">
        <f>36904+400-10473</f>
        <v>26831</v>
      </c>
      <c r="G26" s="21" t="s">
        <v>127</v>
      </c>
    </row>
    <row r="27" spans="1:7" ht="15.75" x14ac:dyDescent="0.25">
      <c r="A27" s="19" t="s">
        <v>46</v>
      </c>
      <c r="B27" s="23">
        <v>0</v>
      </c>
      <c r="C27" s="23">
        <v>10091</v>
      </c>
      <c r="D27" s="23">
        <v>10091</v>
      </c>
      <c r="E27" s="23">
        <v>10091</v>
      </c>
      <c r="F27" s="23">
        <v>10091</v>
      </c>
      <c r="G27" s="21"/>
    </row>
    <row r="28" spans="1:7" ht="15.75" x14ac:dyDescent="0.25">
      <c r="A28" s="19" t="s">
        <v>55</v>
      </c>
      <c r="B28" s="23">
        <f>SUM(283536+12615)</f>
        <v>296151</v>
      </c>
      <c r="C28" s="23">
        <f>'[1]KESZI költségvetés'!$D$25+'[1]KESZI költségvetés'!$D$26+'[1]KESZI költségvetés'!$D$27+'[1]KESZI költségvetés'!$D$28</f>
        <v>320755</v>
      </c>
      <c r="D28" s="23">
        <v>331537</v>
      </c>
      <c r="E28" s="23">
        <v>345680</v>
      </c>
      <c r="F28" s="23">
        <v>347658</v>
      </c>
      <c r="G28" s="21" t="s">
        <v>45</v>
      </c>
    </row>
    <row r="29" spans="1:7" ht="15.75" x14ac:dyDescent="0.25">
      <c r="A29" s="19" t="s">
        <v>47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1" t="s">
        <v>48</v>
      </c>
    </row>
    <row r="30" spans="1:7" ht="15.75" x14ac:dyDescent="0.25">
      <c r="A30" s="24" t="s">
        <v>49</v>
      </c>
      <c r="B30" s="25">
        <f t="shared" ref="B30:F30" si="2">SUM(B29+B28+B26+B24+B23)</f>
        <v>535400</v>
      </c>
      <c r="C30" s="25">
        <f t="shared" si="2"/>
        <v>553378</v>
      </c>
      <c r="D30" s="62">
        <f t="shared" si="2"/>
        <v>564710</v>
      </c>
      <c r="E30" s="62">
        <f t="shared" si="2"/>
        <v>579393</v>
      </c>
      <c r="F30" s="62">
        <f t="shared" si="2"/>
        <v>582892</v>
      </c>
      <c r="G30" s="21"/>
    </row>
    <row r="31" spans="1:7" ht="15.75" x14ac:dyDescent="0.25">
      <c r="A31" s="19" t="s">
        <v>89</v>
      </c>
      <c r="B31" s="20">
        <v>0</v>
      </c>
      <c r="C31" s="23">
        <f>'[1]KESZI költségvetés'!$D$24</f>
        <v>2435</v>
      </c>
      <c r="D31" s="63">
        <v>837</v>
      </c>
      <c r="E31" s="20">
        <v>837</v>
      </c>
      <c r="F31" s="20">
        <v>837</v>
      </c>
      <c r="G31" s="21" t="s">
        <v>90</v>
      </c>
    </row>
    <row r="32" spans="1:7" ht="15.75" hidden="1" x14ac:dyDescent="0.25">
      <c r="A32" s="19" t="s">
        <v>50</v>
      </c>
      <c r="B32" s="20" t="s">
        <v>36</v>
      </c>
      <c r="C32" s="20" t="s">
        <v>36</v>
      </c>
      <c r="D32" s="57"/>
      <c r="E32" s="20"/>
      <c r="F32" s="20"/>
      <c r="G32" s="21"/>
    </row>
    <row r="33" spans="1:257" ht="15.75" x14ac:dyDescent="0.25">
      <c r="A33" s="33" t="s">
        <v>51</v>
      </c>
      <c r="B33" s="27">
        <f t="shared" ref="B33:F33" si="3">B30+B31</f>
        <v>535400</v>
      </c>
      <c r="C33" s="27">
        <f t="shared" si="3"/>
        <v>555813</v>
      </c>
      <c r="D33" s="28">
        <f t="shared" si="3"/>
        <v>565547</v>
      </c>
      <c r="E33" s="28">
        <f t="shared" si="3"/>
        <v>580230</v>
      </c>
      <c r="F33" s="28">
        <f t="shared" si="3"/>
        <v>583729</v>
      </c>
      <c r="G33" s="21"/>
    </row>
    <row r="36" spans="1:257" ht="30" x14ac:dyDescent="0.25">
      <c r="A36" s="54" t="s">
        <v>92</v>
      </c>
      <c r="B36" s="2" t="s">
        <v>56</v>
      </c>
    </row>
    <row r="37" spans="1:257" x14ac:dyDescent="0.25">
      <c r="B37" s="2" t="s">
        <v>83</v>
      </c>
      <c r="C37" s="2" t="s">
        <v>99</v>
      </c>
      <c r="D37" s="2" t="s">
        <v>112</v>
      </c>
      <c r="E37" s="2" t="s">
        <v>113</v>
      </c>
      <c r="F37" s="2" t="s">
        <v>119</v>
      </c>
    </row>
    <row r="38" spans="1:257" x14ac:dyDescent="0.25">
      <c r="A38" s="40" t="s">
        <v>57</v>
      </c>
      <c r="B38" s="46">
        <v>27403200</v>
      </c>
      <c r="C38" s="49">
        <f>[2]Munka1!$E$18</f>
        <v>25941696</v>
      </c>
      <c r="D38" s="49">
        <f>[2]Munka1!$E$18</f>
        <v>25941696</v>
      </c>
      <c r="E38" s="48">
        <v>25698112</v>
      </c>
      <c r="F38" s="48">
        <v>25515424</v>
      </c>
      <c r="G38" s="59"/>
    </row>
    <row r="39" spans="1:257" x14ac:dyDescent="0.25">
      <c r="A39" s="40" t="s">
        <v>58</v>
      </c>
      <c r="B39" s="46">
        <v>34872500</v>
      </c>
      <c r="C39" s="49">
        <f>[2]Munka1!$E$19</f>
        <v>36192000</v>
      </c>
      <c r="D39" s="49">
        <f>[2]Munka1!$E$19</f>
        <v>36192000</v>
      </c>
      <c r="E39" s="48">
        <v>35815000</v>
      </c>
      <c r="F39" s="48">
        <v>35626500</v>
      </c>
    </row>
    <row r="40" spans="1:257" x14ac:dyDescent="0.25">
      <c r="A40" s="40" t="s">
        <v>59</v>
      </c>
      <c r="B40" s="46">
        <v>7357500</v>
      </c>
      <c r="C40" s="49">
        <f>[2]Munka1!$E$20</f>
        <v>6213000</v>
      </c>
      <c r="D40" s="49">
        <f>[2]Munka1!$E$20</f>
        <v>6213000</v>
      </c>
      <c r="E40" s="48">
        <f t="shared" ref="E40:E48" si="4">D40</f>
        <v>6213000</v>
      </c>
      <c r="F40" s="48">
        <v>6540000</v>
      </c>
      <c r="G40" s="76"/>
    </row>
    <row r="41" spans="1:257" x14ac:dyDescent="0.25">
      <c r="A41" s="41" t="s">
        <v>60</v>
      </c>
      <c r="B41" s="46">
        <f>SUM(6050000+4180000+12100000)</f>
        <v>22330000</v>
      </c>
      <c r="C41" s="49">
        <f>[2]Munka1!$E$21+[2]Munka1!$E$22+[2]Munka1!$E$23</f>
        <v>24970000</v>
      </c>
      <c r="D41" s="49">
        <f>[2]Munka1!$E$21+[2]Munka1!$E$22+[2]Munka1!$E$23</f>
        <v>24970000</v>
      </c>
      <c r="E41" s="48">
        <v>22880000</v>
      </c>
      <c r="F41" s="48">
        <v>23870000</v>
      </c>
    </row>
    <row r="42" spans="1:257" x14ac:dyDescent="0.25">
      <c r="A42" s="40" t="s">
        <v>61</v>
      </c>
      <c r="B42" s="46">
        <v>11129400</v>
      </c>
      <c r="C42" s="49">
        <f>[2]Munka1!$E$24</f>
        <v>8903520</v>
      </c>
      <c r="D42" s="49">
        <f>[2]Munka1!$E$24</f>
        <v>8903520</v>
      </c>
      <c r="E42" s="48">
        <f t="shared" si="4"/>
        <v>8903520</v>
      </c>
      <c r="F42" s="48">
        <v>8903520</v>
      </c>
    </row>
    <row r="43" spans="1:257" x14ac:dyDescent="0.25">
      <c r="A43" s="40" t="s">
        <v>62</v>
      </c>
      <c r="B43" s="46">
        <v>20607400</v>
      </c>
      <c r="C43" s="49">
        <f>[2]Munka1!$E$25</f>
        <v>20607400</v>
      </c>
      <c r="D43" s="49">
        <f>[2]Munka1!$E$25</f>
        <v>20607400</v>
      </c>
      <c r="E43" s="48">
        <v>21122585</v>
      </c>
      <c r="F43" s="48">
        <v>21122585</v>
      </c>
      <c r="G43" s="59"/>
      <c r="H43" s="59"/>
    </row>
    <row r="44" spans="1:257" x14ac:dyDescent="0.25">
      <c r="A44" s="40" t="s">
        <v>63</v>
      </c>
      <c r="B44" s="46">
        <v>83393280</v>
      </c>
      <c r="C44" s="49">
        <f>[2]Munka1!$E$26</f>
        <v>83393280</v>
      </c>
      <c r="D44" s="49">
        <f>[2]Munka1!$E$26</f>
        <v>83393280</v>
      </c>
      <c r="E44" s="48">
        <f t="shared" si="4"/>
        <v>83393280</v>
      </c>
      <c r="F44" s="81">
        <f>83393280-7178365</f>
        <v>76214915</v>
      </c>
    </row>
    <row r="45" spans="1:257" x14ac:dyDescent="0.25">
      <c r="A45" s="41" t="s">
        <v>64</v>
      </c>
      <c r="B45" s="46">
        <v>19973000</v>
      </c>
      <c r="C45" s="49">
        <v>25725104</v>
      </c>
      <c r="D45" s="49">
        <v>25725104</v>
      </c>
      <c r="E45" s="48">
        <f>D45+8700896</f>
        <v>34426000</v>
      </c>
      <c r="F45" s="81">
        <f>42396429-492064</f>
        <v>41904365</v>
      </c>
      <c r="G45" s="76"/>
    </row>
    <row r="46" spans="1:257" x14ac:dyDescent="0.25">
      <c r="A46" s="21" t="s">
        <v>65</v>
      </c>
      <c r="B46" s="46">
        <v>56470000</v>
      </c>
      <c r="C46" s="48">
        <f>'[1]KESZI költségvetés'!$D$27*1000</f>
        <v>72513000</v>
      </c>
      <c r="D46" s="48">
        <f>'[1]KESZI költségvetés'!$D$27*1000</f>
        <v>72513000</v>
      </c>
      <c r="E46" s="48">
        <f t="shared" si="4"/>
        <v>72513000</v>
      </c>
      <c r="F46" s="48">
        <v>72513000</v>
      </c>
    </row>
    <row r="47" spans="1:257" x14ac:dyDescent="0.25">
      <c r="A47" s="50" t="s">
        <v>66</v>
      </c>
      <c r="B47" s="51">
        <v>12615000</v>
      </c>
      <c r="C47" s="48">
        <f>'[1]KESZI költségvetés'!$D$26*1000</f>
        <v>12615000</v>
      </c>
      <c r="D47" s="48">
        <f>'[1]KESZI költségvetés'!$D$26*1000</f>
        <v>12615000</v>
      </c>
      <c r="E47" s="48">
        <f t="shared" si="4"/>
        <v>12615000</v>
      </c>
      <c r="F47" s="48">
        <v>12615000</v>
      </c>
    </row>
    <row r="48" spans="1:257" customFormat="1" x14ac:dyDescent="0.25">
      <c r="A48" s="47" t="s">
        <v>84</v>
      </c>
      <c r="B48" s="53"/>
      <c r="C48" s="48">
        <f>'[1]KESZI költségvetés'!$D$28*1000</f>
        <v>3681000</v>
      </c>
      <c r="D48" s="48">
        <f>'[1]KESZI költségvetés'!$D$28*1000</f>
        <v>3681000</v>
      </c>
      <c r="E48" s="48">
        <f t="shared" si="4"/>
        <v>3681000</v>
      </c>
      <c r="F48" s="48">
        <v>3681000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</row>
    <row r="49" spans="1:257" customFormat="1" x14ac:dyDescent="0.25">
      <c r="A49" s="47" t="s">
        <v>93</v>
      </c>
      <c r="B49" s="53"/>
      <c r="C49" s="48"/>
      <c r="D49" s="48">
        <v>5572953</v>
      </c>
      <c r="E49" s="48">
        <f>D49+727583+720852</f>
        <v>7021388</v>
      </c>
      <c r="F49" s="48">
        <v>8795258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customFormat="1" x14ac:dyDescent="0.25">
      <c r="A50" s="47" t="s">
        <v>100</v>
      </c>
      <c r="B50" s="53"/>
      <c r="C50" s="48"/>
      <c r="D50" s="48">
        <v>3269344</v>
      </c>
      <c r="E50" s="48">
        <f>D50+2553090</f>
        <v>5822434</v>
      </c>
      <c r="F50" s="48">
        <v>5822434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customFormat="1" x14ac:dyDescent="0.25">
      <c r="A51" s="64" t="s">
        <v>101</v>
      </c>
      <c r="B51" s="65"/>
      <c r="C51" s="48"/>
      <c r="D51" s="48">
        <v>1939894</v>
      </c>
      <c r="E51" s="48">
        <f>D51+142138+411480</f>
        <v>2493512</v>
      </c>
      <c r="F51" s="48">
        <v>2696712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customFormat="1" x14ac:dyDescent="0.25">
      <c r="A52" s="47" t="s">
        <v>111</v>
      </c>
      <c r="B52" s="53"/>
      <c r="C52" s="48"/>
      <c r="D52" s="48"/>
      <c r="E52" s="48">
        <f>1917645+7670580</f>
        <v>9588225</v>
      </c>
      <c r="F52" s="48">
        <f>9588225+7178365</f>
        <v>16766590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s="73" customFormat="1" x14ac:dyDescent="0.25">
      <c r="A53" s="47" t="s">
        <v>121</v>
      </c>
      <c r="B53" s="53"/>
      <c r="C53" s="48"/>
      <c r="D53" s="48"/>
      <c r="E53" s="48">
        <v>-6505497</v>
      </c>
      <c r="F53" s="48">
        <f>-14726474-11365280+11162080</f>
        <v>-14929674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pans="1:257" x14ac:dyDescent="0.25">
      <c r="B54" s="42">
        <f>SUM(B38:B47)</f>
        <v>296151280</v>
      </c>
      <c r="C54" s="42">
        <f>SUM(C38:C48)</f>
        <v>320755000</v>
      </c>
      <c r="D54" s="42">
        <f>SUM(D38:D51)</f>
        <v>331537191</v>
      </c>
      <c r="E54" s="59">
        <f>SUM(E38:E53)</f>
        <v>345680559</v>
      </c>
      <c r="F54" s="59">
        <f>SUM(F38:F53)</f>
        <v>347657629</v>
      </c>
    </row>
    <row r="56" spans="1:257" x14ac:dyDescent="0.25">
      <c r="A56" s="73" t="s">
        <v>130</v>
      </c>
    </row>
  </sheetData>
  <mergeCells count="5">
    <mergeCell ref="A6:C6"/>
    <mergeCell ref="B1:C1"/>
    <mergeCell ref="A3:C3"/>
    <mergeCell ref="A4:C4"/>
    <mergeCell ref="A5:C5"/>
  </mergeCells>
  <phoneticPr fontId="15" type="noConversion"/>
  <pageMargins left="0.70000000000000007" right="0.70000000000000007" top="1.1437007874015752" bottom="1.1437007874015752" header="0.75000000000000011" footer="0.7500000000000001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46"/>
  <sheetViews>
    <sheetView topLeftCell="A4" workbookViewId="0">
      <selection activeCell="F4" sqref="F1:F1048576"/>
    </sheetView>
  </sheetViews>
  <sheetFormatPr defaultColWidth="8.75" defaultRowHeight="15" x14ac:dyDescent="0.25"/>
  <cols>
    <col min="1" max="1" width="53.625" style="1" customWidth="1"/>
    <col min="2" max="2" width="13.875" style="1" customWidth="1"/>
    <col min="3" max="3" width="15" style="1" customWidth="1"/>
    <col min="4" max="4" width="14.75" style="1" bestFit="1" customWidth="1"/>
    <col min="5" max="5" width="14.75" style="1" customWidth="1"/>
    <col min="6" max="6" width="13.5" style="1" customWidth="1"/>
    <col min="7" max="7" width="12.25" style="1" customWidth="1"/>
    <col min="8" max="8" width="12.5" style="1" customWidth="1"/>
    <col min="9" max="16384" width="8.75" style="1"/>
  </cols>
  <sheetData>
    <row r="1" spans="1:257" x14ac:dyDescent="0.25">
      <c r="B1" s="85" t="s">
        <v>67</v>
      </c>
      <c r="C1" s="85"/>
    </row>
    <row r="2" spans="1:257" x14ac:dyDescent="0.25">
      <c r="B2" s="2"/>
    </row>
    <row r="3" spans="1:257" x14ac:dyDescent="0.25">
      <c r="A3" s="85" t="s">
        <v>1</v>
      </c>
      <c r="B3" s="85"/>
      <c r="C3" s="85"/>
    </row>
    <row r="4" spans="1:257" x14ac:dyDescent="0.25">
      <c r="A4" s="85" t="s">
        <v>103</v>
      </c>
      <c r="B4" s="85"/>
      <c r="C4" s="85"/>
    </row>
    <row r="5" spans="1:257" ht="15.75" x14ac:dyDescent="0.25">
      <c r="A5" s="89" t="s">
        <v>13</v>
      </c>
      <c r="B5" s="89"/>
      <c r="C5" s="89"/>
    </row>
    <row r="6" spans="1:257" ht="15.75" x14ac:dyDescent="0.25">
      <c r="A6" s="89" t="s">
        <v>14</v>
      </c>
      <c r="B6" s="89"/>
      <c r="C6" s="89"/>
    </row>
    <row r="8" spans="1:257" ht="15.75" x14ac:dyDescent="0.25">
      <c r="B8" s="12"/>
      <c r="C8" s="12" t="s">
        <v>53</v>
      </c>
      <c r="D8" s="12" t="s">
        <v>53</v>
      </c>
      <c r="E8" s="74"/>
    </row>
    <row r="9" spans="1:257" ht="15.75" customHeight="1" x14ac:dyDescent="0.25">
      <c r="A9" s="90" t="s">
        <v>68</v>
      </c>
      <c r="B9" s="90"/>
      <c r="C9" s="90"/>
      <c r="D9" s="66"/>
      <c r="E9" s="66"/>
    </row>
    <row r="10" spans="1:257" ht="15.75" x14ac:dyDescent="0.25">
      <c r="A10" s="14" t="s">
        <v>6</v>
      </c>
      <c r="B10" s="14" t="s">
        <v>18</v>
      </c>
      <c r="C10" s="14" t="s">
        <v>87</v>
      </c>
      <c r="D10" s="14" t="s">
        <v>87</v>
      </c>
      <c r="E10" s="14" t="s">
        <v>87</v>
      </c>
      <c r="F10" s="15" t="s">
        <v>19</v>
      </c>
    </row>
    <row r="11" spans="1:257" ht="33" customHeight="1" x14ac:dyDescent="0.25">
      <c r="A11" s="16"/>
      <c r="B11" s="17" t="s">
        <v>78</v>
      </c>
      <c r="C11" s="17" t="s">
        <v>106</v>
      </c>
      <c r="D11" s="17" t="s">
        <v>107</v>
      </c>
      <c r="E11" s="17" t="s">
        <v>122</v>
      </c>
      <c r="F11" s="18" t="s">
        <v>79</v>
      </c>
    </row>
    <row r="12" spans="1:257" ht="15.75" x14ac:dyDescent="0.25">
      <c r="A12" s="19" t="s">
        <v>21</v>
      </c>
      <c r="B12" s="20">
        <f>'[1]KGYCSSZK költségvetés'!$F$4/1000</f>
        <v>97862.313999999998</v>
      </c>
      <c r="C12" s="20">
        <v>101752</v>
      </c>
      <c r="D12" s="70">
        <v>108198</v>
      </c>
      <c r="E12" s="70">
        <v>109253</v>
      </c>
      <c r="F12" s="21" t="s">
        <v>22</v>
      </c>
    </row>
    <row r="13" spans="1:257" ht="15.75" x14ac:dyDescent="0.25">
      <c r="A13" s="19" t="s">
        <v>23</v>
      </c>
      <c r="B13" s="20">
        <f>'[1]KGYCSSZK költségvetés'!$F$5/1000</f>
        <v>24495.052</v>
      </c>
      <c r="C13" s="20">
        <v>25324</v>
      </c>
      <c r="D13" s="70">
        <v>27064</v>
      </c>
      <c r="E13" s="70">
        <v>27402</v>
      </c>
      <c r="F13" s="21" t="s">
        <v>24</v>
      </c>
    </row>
    <row r="14" spans="1:257" ht="15.75" x14ac:dyDescent="0.25">
      <c r="A14" s="19" t="s">
        <v>25</v>
      </c>
      <c r="B14" s="20">
        <f>'[1]KGYCSSZK költségvetés'!$F$19/1000</f>
        <v>18677</v>
      </c>
      <c r="C14" s="20">
        <v>20701</v>
      </c>
      <c r="D14" s="20">
        <v>20701</v>
      </c>
      <c r="E14" s="20">
        <v>20220</v>
      </c>
      <c r="F14" s="21" t="s">
        <v>26</v>
      </c>
    </row>
    <row r="15" spans="1:257" ht="15.75" x14ac:dyDescent="0.25">
      <c r="A15" s="19" t="s">
        <v>102</v>
      </c>
      <c r="B15" s="20">
        <f>'[1]KGYCSSZK költségvetés'!$F$20/1000</f>
        <v>420</v>
      </c>
      <c r="C15" s="20">
        <f>'[1]KGYCSSZK költségvetés'!$F$20/1000</f>
        <v>420</v>
      </c>
      <c r="D15" s="20">
        <v>420</v>
      </c>
      <c r="E15" s="20">
        <v>420</v>
      </c>
      <c r="F15" s="21" t="s">
        <v>28</v>
      </c>
    </row>
    <row r="16" spans="1:257" customFormat="1" ht="15.75" x14ac:dyDescent="0.25">
      <c r="A16" s="19" t="s">
        <v>104</v>
      </c>
      <c r="B16" s="20"/>
      <c r="C16" s="20">
        <v>168</v>
      </c>
      <c r="D16" s="20">
        <v>168</v>
      </c>
      <c r="E16" s="20">
        <v>168</v>
      </c>
      <c r="F16" s="21" t="s">
        <v>88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8" ht="15.75" x14ac:dyDescent="0.25">
      <c r="A17" s="19" t="s">
        <v>29</v>
      </c>
      <c r="B17" s="20">
        <v>0</v>
      </c>
      <c r="C17" s="20">
        <f>270+4086</f>
        <v>4356</v>
      </c>
      <c r="D17" s="20">
        <v>4356</v>
      </c>
      <c r="E17" s="20">
        <f>2351+4586</f>
        <v>6937</v>
      </c>
      <c r="F17" s="22" t="s">
        <v>30</v>
      </c>
    </row>
    <row r="18" spans="1:8" ht="15.75" x14ac:dyDescent="0.25">
      <c r="A18" s="19" t="s">
        <v>128</v>
      </c>
      <c r="B18" s="20"/>
      <c r="C18" s="20"/>
      <c r="D18" s="20"/>
      <c r="E18" s="20"/>
      <c r="F18" s="22"/>
    </row>
    <row r="19" spans="1:8" ht="15.75" x14ac:dyDescent="0.25">
      <c r="A19" s="24" t="s">
        <v>33</v>
      </c>
      <c r="B19" s="25">
        <f>SUM(B12:B17)</f>
        <v>141454.36599999998</v>
      </c>
      <c r="C19" s="25">
        <f>SUM(C12:C17)</f>
        <v>152721</v>
      </c>
      <c r="D19" s="25">
        <f>SUM(D12:D17)</f>
        <v>160907</v>
      </c>
      <c r="E19" s="25">
        <f>SUM(E12:E17)</f>
        <v>164400</v>
      </c>
      <c r="F19" s="21"/>
    </row>
    <row r="20" spans="1:8" ht="15.75" x14ac:dyDescent="0.25">
      <c r="A20" s="30" t="s">
        <v>37</v>
      </c>
      <c r="B20" s="27">
        <f>B19</f>
        <v>141454.36599999998</v>
      </c>
      <c r="C20" s="27">
        <f>C19</f>
        <v>152721</v>
      </c>
      <c r="D20" s="27">
        <f>D19</f>
        <v>160907</v>
      </c>
      <c r="E20" s="27">
        <f>E19</f>
        <v>164400</v>
      </c>
      <c r="F20" s="21"/>
    </row>
    <row r="21" spans="1:8" ht="15.75" x14ac:dyDescent="0.25">
      <c r="A21" s="31"/>
      <c r="B21" s="29"/>
      <c r="C21" s="29"/>
      <c r="D21" s="29"/>
      <c r="E21" s="29"/>
    </row>
    <row r="22" spans="1:8" ht="15.75" x14ac:dyDescent="0.25">
      <c r="A22" s="19" t="s">
        <v>38</v>
      </c>
      <c r="B22" s="23">
        <f>'[1]KGYCSSZK költségvetés'!$F$25/1000+'[1]KGYCSSZK költségvetés'!$F$24/1000</f>
        <v>2240</v>
      </c>
      <c r="C22" s="23">
        <v>1825</v>
      </c>
      <c r="D22" s="23">
        <v>1825</v>
      </c>
      <c r="E22" s="82">
        <f>1825+1481</f>
        <v>3306</v>
      </c>
      <c r="F22" s="21" t="s">
        <v>39</v>
      </c>
      <c r="H22" s="1">
        <v>1481</v>
      </c>
    </row>
    <row r="23" spans="1:8" ht="30" x14ac:dyDescent="0.25">
      <c r="A23" s="19" t="s">
        <v>41</v>
      </c>
      <c r="B23" s="20">
        <v>0</v>
      </c>
      <c r="C23" s="20">
        <v>0</v>
      </c>
      <c r="D23" s="20">
        <v>0</v>
      </c>
      <c r="E23" s="20">
        <v>0</v>
      </c>
      <c r="F23" s="22" t="s">
        <v>42</v>
      </c>
    </row>
    <row r="24" spans="1:8" ht="15.75" x14ac:dyDescent="0.25">
      <c r="A24" s="19" t="s">
        <v>43</v>
      </c>
      <c r="B24" s="20">
        <v>0</v>
      </c>
      <c r="C24" s="20">
        <v>0</v>
      </c>
      <c r="D24" s="20">
        <v>0</v>
      </c>
      <c r="E24" s="20">
        <v>0</v>
      </c>
      <c r="F24" s="21"/>
    </row>
    <row r="25" spans="1:8" ht="15.75" x14ac:dyDescent="0.25">
      <c r="A25" s="19" t="s">
        <v>44</v>
      </c>
      <c r="B25" s="20">
        <f>'[1]KGYCSSZK költségvetés'!$F$23/1000</f>
        <v>370</v>
      </c>
      <c r="C25" s="20">
        <f>1250+1414</f>
        <v>2664</v>
      </c>
      <c r="D25" s="20">
        <v>2664</v>
      </c>
      <c r="E25" s="83">
        <f>1250+3014+1004</f>
        <v>5268</v>
      </c>
      <c r="F25" s="21" t="s">
        <v>126</v>
      </c>
      <c r="H25" s="1">
        <v>1004</v>
      </c>
    </row>
    <row r="26" spans="1:8" ht="15.75" x14ac:dyDescent="0.25">
      <c r="A26" s="19" t="s">
        <v>46</v>
      </c>
      <c r="B26" s="20">
        <v>0</v>
      </c>
      <c r="C26" s="20">
        <v>0</v>
      </c>
      <c r="D26" s="20">
        <v>0</v>
      </c>
      <c r="E26" s="20">
        <v>0</v>
      </c>
      <c r="F26" s="21"/>
    </row>
    <row r="27" spans="1:8" ht="15.75" x14ac:dyDescent="0.25">
      <c r="A27" s="19" t="s">
        <v>69</v>
      </c>
      <c r="B27" s="20">
        <f>'[1]KGYCSSZK költségvetés'!$F$27/1000</f>
        <v>138844.36600000001</v>
      </c>
      <c r="C27" s="20">
        <v>147817</v>
      </c>
      <c r="D27" s="70">
        <v>156003</v>
      </c>
      <c r="E27" s="83">
        <f>157896-1481-1004</f>
        <v>155411</v>
      </c>
      <c r="F27" s="21" t="s">
        <v>45</v>
      </c>
    </row>
    <row r="28" spans="1:8" ht="15.75" x14ac:dyDescent="0.25">
      <c r="A28" s="19" t="s">
        <v>47</v>
      </c>
      <c r="B28" s="20">
        <v>0</v>
      </c>
      <c r="C28" s="20">
        <v>0</v>
      </c>
      <c r="D28" s="20">
        <v>0</v>
      </c>
      <c r="E28" s="20">
        <v>0</v>
      </c>
      <c r="F28" s="21" t="s">
        <v>48</v>
      </c>
    </row>
    <row r="29" spans="1:8" ht="15.75" x14ac:dyDescent="0.25">
      <c r="A29" s="24" t="s">
        <v>49</v>
      </c>
      <c r="B29" s="25">
        <f>SUM(B28,B27,B25,B22)</f>
        <v>141454.36600000001</v>
      </c>
      <c r="C29" s="25">
        <f>SUM(C28,C27,C25,C22)</f>
        <v>152306</v>
      </c>
      <c r="D29" s="25">
        <f>SUM(D22:D28)</f>
        <v>160492</v>
      </c>
      <c r="E29" s="25">
        <f>SUM(E22:E28)</f>
        <v>163985</v>
      </c>
      <c r="F29" s="21"/>
    </row>
    <row r="30" spans="1:8" ht="15.75" x14ac:dyDescent="0.25">
      <c r="A30" s="19" t="s">
        <v>89</v>
      </c>
      <c r="B30" s="20">
        <v>0</v>
      </c>
      <c r="C30" s="20">
        <v>415</v>
      </c>
      <c r="D30" s="20">
        <v>415</v>
      </c>
      <c r="E30" s="20">
        <v>415</v>
      </c>
      <c r="F30" s="21" t="s">
        <v>108</v>
      </c>
    </row>
    <row r="31" spans="1:8" ht="15.75" x14ac:dyDescent="0.25">
      <c r="A31" s="33" t="s">
        <v>51</v>
      </c>
      <c r="B31" s="27">
        <f>SUM(B29+B30)</f>
        <v>141454.36600000001</v>
      </c>
      <c r="C31" s="27">
        <f>SUM(C29+C30)</f>
        <v>152721</v>
      </c>
      <c r="D31" s="27">
        <f>SUM(D29+D30)</f>
        <v>160907</v>
      </c>
      <c r="E31" s="27">
        <f>SUM(E29+E30)</f>
        <v>164400</v>
      </c>
      <c r="F31" s="21"/>
    </row>
    <row r="33" spans="1:257" ht="30" x14ac:dyDescent="0.25">
      <c r="A33" s="54" t="s">
        <v>92</v>
      </c>
      <c r="B33" s="2" t="s">
        <v>56</v>
      </c>
    </row>
    <row r="34" spans="1:257" customFormat="1" x14ac:dyDescent="0.25">
      <c r="A34" s="54"/>
      <c r="B34" s="2" t="s">
        <v>91</v>
      </c>
      <c r="C34" s="2" t="s">
        <v>109</v>
      </c>
      <c r="D34" s="78" t="s">
        <v>110</v>
      </c>
      <c r="E34" s="78" t="s">
        <v>120</v>
      </c>
      <c r="F34" s="7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</row>
    <row r="35" spans="1:257" x14ac:dyDescent="0.25">
      <c r="A35" s="43" t="s">
        <v>70</v>
      </c>
      <c r="B35" s="46">
        <v>78138520</v>
      </c>
      <c r="C35" s="48">
        <f>[2]Munka1!$E$6+[2]Munka1!$E$7+[2]Munka1!$E$8+[2]Munka1!$E$9</f>
        <v>78138520</v>
      </c>
      <c r="D35" s="48">
        <f t="shared" ref="D35:D40" si="0">C35</f>
        <v>78138520</v>
      </c>
      <c r="E35" s="48">
        <v>78138520</v>
      </c>
      <c r="F35" s="77"/>
    </row>
    <row r="36" spans="1:257" x14ac:dyDescent="0.25">
      <c r="A36" s="21" t="s">
        <v>65</v>
      </c>
      <c r="B36" s="46">
        <v>42261266</v>
      </c>
      <c r="C36" s="48">
        <f>'[1]KGYCSSZK költségvetés'!$F$32</f>
        <v>42261266</v>
      </c>
      <c r="D36" s="48">
        <f t="shared" si="0"/>
        <v>42261266</v>
      </c>
      <c r="E36" s="48">
        <v>42261266</v>
      </c>
      <c r="F36" s="77"/>
    </row>
    <row r="37" spans="1:257" x14ac:dyDescent="0.25">
      <c r="A37" s="50" t="s">
        <v>94</v>
      </c>
      <c r="B37" s="51">
        <v>7282500</v>
      </c>
      <c r="C37" s="52">
        <f>'[1]KGYCSSZK költségvetés'!$F$31</f>
        <v>7282500</v>
      </c>
      <c r="D37" s="48">
        <f t="shared" si="0"/>
        <v>7282500</v>
      </c>
      <c r="E37" s="48">
        <v>7282500</v>
      </c>
      <c r="F37" s="77"/>
    </row>
    <row r="38" spans="1:257" customFormat="1" ht="30" x14ac:dyDescent="0.25">
      <c r="A38" s="55" t="s">
        <v>95</v>
      </c>
      <c r="B38" s="53">
        <v>11162080</v>
      </c>
      <c r="C38" s="53">
        <v>11162080</v>
      </c>
      <c r="D38" s="48">
        <f t="shared" si="0"/>
        <v>11162080</v>
      </c>
      <c r="E38" s="48">
        <v>11162080</v>
      </c>
      <c r="F38" s="75"/>
      <c r="G38" s="59"/>
      <c r="H38" s="5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</row>
    <row r="39" spans="1:257" customFormat="1" x14ac:dyDescent="0.25">
      <c r="A39" s="47" t="s">
        <v>97</v>
      </c>
      <c r="B39" s="53"/>
      <c r="C39" s="48">
        <v>4086225</v>
      </c>
      <c r="D39" s="48">
        <f t="shared" si="0"/>
        <v>4086225</v>
      </c>
      <c r="E39" s="48">
        <f>4086225+500000</f>
        <v>4586225</v>
      </c>
      <c r="F39" s="7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</row>
    <row r="40" spans="1:257" customFormat="1" x14ac:dyDescent="0.25">
      <c r="A40" s="47" t="s">
        <v>98</v>
      </c>
      <c r="B40" s="53"/>
      <c r="C40" s="48">
        <v>1800186</v>
      </c>
      <c r="D40" s="48">
        <f t="shared" si="0"/>
        <v>1800186</v>
      </c>
      <c r="E40" s="48">
        <v>2279738</v>
      </c>
      <c r="F40" s="77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</row>
    <row r="41" spans="1:257" customFormat="1" x14ac:dyDescent="0.25">
      <c r="A41" s="47" t="s">
        <v>96</v>
      </c>
      <c r="B41" s="53"/>
      <c r="C41" s="48">
        <v>3086688</v>
      </c>
      <c r="D41" s="48">
        <f>C41+820166</f>
        <v>3906854</v>
      </c>
      <c r="E41" s="48">
        <f>D41+362204+374777+374777-198327</f>
        <v>4820285</v>
      </c>
      <c r="F41" s="77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</row>
    <row r="42" spans="1:257" customFormat="1" x14ac:dyDescent="0.25">
      <c r="A42" s="47" t="s">
        <v>111</v>
      </c>
      <c r="B42" s="53"/>
      <c r="C42" s="48"/>
      <c r="D42" s="48">
        <f>1473110+5892440</f>
        <v>7365550</v>
      </c>
      <c r="E42" s="48">
        <f>D42</f>
        <v>7365550</v>
      </c>
      <c r="F42" s="7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</row>
    <row r="43" spans="1:257" s="73" customFormat="1" x14ac:dyDescent="0.25">
      <c r="A43" s="47" t="s">
        <v>121</v>
      </c>
      <c r="B43" s="53"/>
      <c r="C43" s="48">
        <v>-366</v>
      </c>
      <c r="D43" s="48">
        <v>-366</v>
      </c>
      <c r="E43" s="48">
        <v>-366</v>
      </c>
      <c r="F43" s="7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</row>
    <row r="44" spans="1:257" x14ac:dyDescent="0.25">
      <c r="A44" s="1" t="s">
        <v>71</v>
      </c>
      <c r="B44" s="42">
        <f>SUM(B35:B39)</f>
        <v>138844366</v>
      </c>
      <c r="C44" s="42">
        <f>SUM(C35:C43)</f>
        <v>147817099</v>
      </c>
      <c r="D44" s="59">
        <f>SUM(D35:D43)</f>
        <v>156002815</v>
      </c>
      <c r="E44" s="59">
        <f>SUM(E35:E43)</f>
        <v>157895798</v>
      </c>
    </row>
    <row r="46" spans="1:257" x14ac:dyDescent="0.25">
      <c r="A46" s="80" t="s">
        <v>130</v>
      </c>
      <c r="H46" s="59"/>
    </row>
  </sheetData>
  <mergeCells count="6">
    <mergeCell ref="A9:C9"/>
    <mergeCell ref="B1:C1"/>
    <mergeCell ref="A3:C3"/>
    <mergeCell ref="A4:C4"/>
    <mergeCell ref="A5:C5"/>
    <mergeCell ref="A6:C6"/>
  </mergeCells>
  <phoneticPr fontId="15" type="noConversion"/>
  <pageMargins left="0.70000000000000007" right="0.70000000000000007" top="1.1437007874015752" bottom="1.1437007874015752" header="0.75000000000000011" footer="0.7500000000000001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8" workbookViewId="0">
      <selection activeCell="I23" sqref="I23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5" width="12.875" style="1" customWidth="1"/>
    <col min="6" max="16384" width="8.75" style="1"/>
  </cols>
  <sheetData>
    <row r="1" spans="1:6" x14ac:dyDescent="0.25">
      <c r="B1" s="85" t="s">
        <v>72</v>
      </c>
      <c r="C1" s="85"/>
    </row>
    <row r="2" spans="1:6" x14ac:dyDescent="0.25">
      <c r="B2" s="2"/>
    </row>
    <row r="3" spans="1:6" x14ac:dyDescent="0.25">
      <c r="A3" s="85" t="s">
        <v>1</v>
      </c>
      <c r="B3" s="85"/>
      <c r="C3" s="85"/>
    </row>
    <row r="4" spans="1:6" x14ac:dyDescent="0.25">
      <c r="A4" s="85" t="s">
        <v>103</v>
      </c>
      <c r="B4" s="85"/>
      <c r="C4" s="85"/>
    </row>
    <row r="5" spans="1:6" ht="15.75" x14ac:dyDescent="0.25">
      <c r="A5" s="89" t="s">
        <v>13</v>
      </c>
      <c r="B5" s="89"/>
      <c r="C5" s="89"/>
    </row>
    <row r="6" spans="1:6" ht="15.75" x14ac:dyDescent="0.25">
      <c r="A6" s="89" t="s">
        <v>14</v>
      </c>
      <c r="B6" s="89"/>
      <c r="C6" s="89"/>
    </row>
    <row r="8" spans="1:6" ht="31.5" x14ac:dyDescent="0.25">
      <c r="B8" s="12"/>
      <c r="C8" s="44" t="s">
        <v>73</v>
      </c>
      <c r="D8" s="44" t="s">
        <v>73</v>
      </c>
      <c r="E8" s="44" t="s">
        <v>73</v>
      </c>
    </row>
    <row r="9" spans="1:6" ht="15.75" customHeight="1" x14ac:dyDescent="0.25">
      <c r="A9" s="90" t="s">
        <v>8</v>
      </c>
      <c r="B9" s="90"/>
      <c r="C9" s="90"/>
    </row>
    <row r="10" spans="1:6" ht="15.75" x14ac:dyDescent="0.25">
      <c r="A10" s="14" t="s">
        <v>6</v>
      </c>
      <c r="B10" s="38" t="s">
        <v>18</v>
      </c>
      <c r="C10" s="38" t="s">
        <v>87</v>
      </c>
      <c r="D10" s="38" t="s">
        <v>87</v>
      </c>
      <c r="E10" s="38" t="s">
        <v>87</v>
      </c>
      <c r="F10" s="15" t="s">
        <v>19</v>
      </c>
    </row>
    <row r="11" spans="1:6" ht="33" customHeight="1" x14ac:dyDescent="0.25">
      <c r="A11" s="16"/>
      <c r="B11" s="39" t="s">
        <v>78</v>
      </c>
      <c r="C11" s="39" t="s">
        <v>106</v>
      </c>
      <c r="D11" s="39" t="s">
        <v>107</v>
      </c>
      <c r="E11" s="39" t="s">
        <v>122</v>
      </c>
      <c r="F11" s="18" t="s">
        <v>79</v>
      </c>
    </row>
    <row r="12" spans="1:6" ht="15.75" x14ac:dyDescent="0.25">
      <c r="A12" s="19" t="s">
        <v>21</v>
      </c>
      <c r="B12" s="23">
        <f>[1]Munka1!$C$6/1000</f>
        <v>1000</v>
      </c>
      <c r="C12" s="23">
        <f>[1]Munka1!$C$6/1000</f>
        <v>1000</v>
      </c>
      <c r="D12" s="23">
        <v>1000</v>
      </c>
      <c r="E12" s="23">
        <v>1000</v>
      </c>
      <c r="F12" s="21" t="s">
        <v>22</v>
      </c>
    </row>
    <row r="13" spans="1:6" ht="15.75" x14ac:dyDescent="0.25">
      <c r="A13" s="19" t="s">
        <v>23</v>
      </c>
      <c r="B13" s="23">
        <f>[1]Munka1!$C$11/1000</f>
        <v>511.7</v>
      </c>
      <c r="C13" s="23">
        <f>[1]Munka1!$C$11/1000</f>
        <v>511.7</v>
      </c>
      <c r="D13" s="23">
        <v>512</v>
      </c>
      <c r="E13" s="23">
        <v>512</v>
      </c>
      <c r="F13" s="21" t="s">
        <v>24</v>
      </c>
    </row>
    <row r="14" spans="1:6" ht="15.75" x14ac:dyDescent="0.25">
      <c r="A14" s="19" t="s">
        <v>25</v>
      </c>
      <c r="B14" s="23">
        <f>[1]Munka1!$C$19/1000</f>
        <v>12821.3</v>
      </c>
      <c r="C14" s="23">
        <v>18181</v>
      </c>
      <c r="D14" s="71">
        <v>16724</v>
      </c>
      <c r="E14" s="71">
        <v>21817</v>
      </c>
      <c r="F14" s="21" t="s">
        <v>26</v>
      </c>
    </row>
    <row r="15" spans="1:6" ht="15.75" x14ac:dyDescent="0.25">
      <c r="A15" s="19" t="s">
        <v>27</v>
      </c>
      <c r="B15" s="23">
        <f>[1]Munka1!$C$24/1000</f>
        <v>6127</v>
      </c>
      <c r="C15" s="23">
        <v>8247</v>
      </c>
      <c r="D15" s="71">
        <v>9704</v>
      </c>
      <c r="E15" s="71">
        <f>2120+5057+2527</f>
        <v>9704</v>
      </c>
      <c r="F15" s="21" t="s">
        <v>85</v>
      </c>
    </row>
    <row r="16" spans="1:6" ht="15.75" x14ac:dyDescent="0.25">
      <c r="A16" s="19" t="s">
        <v>123</v>
      </c>
      <c r="B16" s="23">
        <v>0</v>
      </c>
      <c r="C16" s="23">
        <v>0</v>
      </c>
      <c r="D16" s="71">
        <v>0</v>
      </c>
      <c r="E16" s="71">
        <v>1827</v>
      </c>
      <c r="F16" s="21" t="s">
        <v>124</v>
      </c>
    </row>
    <row r="17" spans="1:6" ht="15.75" x14ac:dyDescent="0.25">
      <c r="A17" s="19" t="s">
        <v>74</v>
      </c>
      <c r="B17" s="23">
        <f>[1]Munka1!$C$33/1000</f>
        <v>459599.36599999998</v>
      </c>
      <c r="C17" s="23">
        <v>479354</v>
      </c>
      <c r="D17" s="71">
        <v>501683</v>
      </c>
      <c r="E17" s="82">
        <f>505553-1004-1481</f>
        <v>503068</v>
      </c>
      <c r="F17" s="22" t="s">
        <v>75</v>
      </c>
    </row>
    <row r="18" spans="1:6" ht="30" x14ac:dyDescent="0.25">
      <c r="A18" s="19" t="s">
        <v>29</v>
      </c>
      <c r="B18" s="23">
        <v>0</v>
      </c>
      <c r="C18" s="23">
        <v>0</v>
      </c>
      <c r="D18" s="23">
        <v>0</v>
      </c>
      <c r="E18" s="23">
        <v>0</v>
      </c>
      <c r="F18" s="22" t="s">
        <v>30</v>
      </c>
    </row>
    <row r="19" spans="1:6" ht="15.75" x14ac:dyDescent="0.25">
      <c r="A19" s="19" t="s">
        <v>31</v>
      </c>
      <c r="B19" s="23">
        <v>0</v>
      </c>
      <c r="C19" s="23">
        <v>0</v>
      </c>
      <c r="D19" s="23">
        <v>0</v>
      </c>
      <c r="E19" s="23">
        <v>0</v>
      </c>
      <c r="F19" s="21" t="s">
        <v>32</v>
      </c>
    </row>
    <row r="20" spans="1:6" ht="15.75" x14ac:dyDescent="0.25">
      <c r="A20" s="24" t="s">
        <v>33</v>
      </c>
      <c r="B20" s="25">
        <f>SUM(B12:B19)</f>
        <v>480059.36599999998</v>
      </c>
      <c r="C20" s="25">
        <f>SUM(C12:C19)</f>
        <v>507293.7</v>
      </c>
      <c r="D20" s="25">
        <f>SUM(D12:D19)</f>
        <v>529623</v>
      </c>
      <c r="E20" s="25">
        <f>SUM(E12:E19)</f>
        <v>537928</v>
      </c>
      <c r="F20" s="21"/>
    </row>
    <row r="21" spans="1:6" ht="15.75" x14ac:dyDescent="0.25">
      <c r="A21" s="19" t="s">
        <v>34</v>
      </c>
      <c r="B21" s="23">
        <f>[1]Munka1!$C$25/1000</f>
        <v>18060</v>
      </c>
      <c r="C21" s="23">
        <v>23631</v>
      </c>
      <c r="D21" s="72">
        <v>20524</v>
      </c>
      <c r="E21" s="72">
        <v>16602</v>
      </c>
      <c r="F21" s="50" t="s">
        <v>86</v>
      </c>
    </row>
    <row r="22" spans="1:6" ht="15.75" x14ac:dyDescent="0.25">
      <c r="A22" s="30" t="s">
        <v>37</v>
      </c>
      <c r="B22" s="28">
        <f>SUM(B20+B21)</f>
        <v>498119.36599999998</v>
      </c>
      <c r="C22" s="28">
        <f>SUM(C20+C21)</f>
        <v>530924.69999999995</v>
      </c>
      <c r="D22" s="61">
        <f>SUM(D20:D21)</f>
        <v>550147</v>
      </c>
      <c r="E22" s="61">
        <f>SUM(E20:E21)</f>
        <v>554530</v>
      </c>
      <c r="F22" s="47"/>
    </row>
    <row r="23" spans="1:6" ht="15.75" x14ac:dyDescent="0.25">
      <c r="A23" s="31"/>
      <c r="B23" s="29"/>
      <c r="C23" s="29"/>
      <c r="D23" s="29"/>
      <c r="E23" s="29"/>
      <c r="F23" s="45"/>
    </row>
    <row r="24" spans="1:6" ht="15.75" x14ac:dyDescent="0.25">
      <c r="A24" s="19" t="s">
        <v>38</v>
      </c>
      <c r="B24" s="23">
        <v>0</v>
      </c>
      <c r="C24" s="23">
        <v>10580</v>
      </c>
      <c r="D24" s="23">
        <v>10580</v>
      </c>
      <c r="E24" s="23">
        <f>11677-1481-1004</f>
        <v>9192</v>
      </c>
      <c r="F24" s="21" t="s">
        <v>39</v>
      </c>
    </row>
    <row r="25" spans="1:6" ht="15.75" x14ac:dyDescent="0.25">
      <c r="A25" s="19" t="s">
        <v>40</v>
      </c>
      <c r="B25" s="23">
        <v>0</v>
      </c>
      <c r="C25" s="23">
        <v>0</v>
      </c>
      <c r="D25" s="23">
        <v>0</v>
      </c>
      <c r="E25" s="23">
        <v>0</v>
      </c>
      <c r="F25" s="21"/>
    </row>
    <row r="26" spans="1:6" ht="45" x14ac:dyDescent="0.25">
      <c r="A26" s="19" t="s">
        <v>41</v>
      </c>
      <c r="B26" s="23">
        <v>0</v>
      </c>
      <c r="C26" s="23">
        <v>0</v>
      </c>
      <c r="D26" s="23">
        <v>0</v>
      </c>
      <c r="E26" s="23">
        <v>0</v>
      </c>
      <c r="F26" s="22" t="s">
        <v>42</v>
      </c>
    </row>
    <row r="27" spans="1:6" ht="15.75" x14ac:dyDescent="0.25">
      <c r="A27" s="19" t="s">
        <v>43</v>
      </c>
      <c r="B27" s="23">
        <v>0</v>
      </c>
      <c r="C27" s="23">
        <v>0</v>
      </c>
      <c r="D27" s="23">
        <v>0</v>
      </c>
      <c r="E27" s="23">
        <v>0</v>
      </c>
      <c r="F27" s="21"/>
    </row>
    <row r="28" spans="1:6" ht="30" x14ac:dyDescent="0.25">
      <c r="A28" s="19" t="s">
        <v>44</v>
      </c>
      <c r="B28" s="23">
        <f>[1]Munka1!$C$65/1000+[1]Munka1!$C$46/1000+[1]Munka1!$C$45/1000+[1]Munka1!$C$44/1000</f>
        <v>498119.36599999998</v>
      </c>
      <c r="C28" s="23">
        <v>517087</v>
      </c>
      <c r="D28" s="71">
        <v>536309</v>
      </c>
      <c r="E28" s="71">
        <f>539296+2784</f>
        <v>542080</v>
      </c>
      <c r="F28" s="22" t="s">
        <v>125</v>
      </c>
    </row>
    <row r="29" spans="1:6" ht="15.75" x14ac:dyDescent="0.25">
      <c r="A29" s="19" t="s">
        <v>46</v>
      </c>
      <c r="B29" s="23">
        <f>[1]Munka1!$C$47/1000</f>
        <v>321246.49599999998</v>
      </c>
      <c r="C29" s="23">
        <v>340582</v>
      </c>
      <c r="D29" s="71">
        <v>366310</v>
      </c>
      <c r="E29" s="71">
        <v>371122</v>
      </c>
      <c r="F29" s="21"/>
    </row>
    <row r="30" spans="1:6" ht="15.75" x14ac:dyDescent="0.25">
      <c r="A30" s="19" t="s">
        <v>69</v>
      </c>
      <c r="B30" s="23">
        <v>0</v>
      </c>
      <c r="C30" s="23">
        <v>0</v>
      </c>
      <c r="D30" s="23">
        <v>0</v>
      </c>
      <c r="E30" s="23">
        <v>0</v>
      </c>
      <c r="F30" s="21"/>
    </row>
    <row r="31" spans="1:6" ht="15.75" x14ac:dyDescent="0.25">
      <c r="A31" s="19" t="s">
        <v>47</v>
      </c>
      <c r="B31" s="23">
        <v>0</v>
      </c>
      <c r="C31" s="23">
        <v>0</v>
      </c>
      <c r="D31" s="23">
        <v>0</v>
      </c>
      <c r="E31" s="23">
        <v>0</v>
      </c>
      <c r="F31" s="21" t="s">
        <v>48</v>
      </c>
    </row>
    <row r="32" spans="1:6" ht="15.75" x14ac:dyDescent="0.25">
      <c r="A32" s="24" t="s">
        <v>49</v>
      </c>
      <c r="B32" s="25">
        <f>SUM(B24+B25+B26+B28+B30+B31)</f>
        <v>498119.36599999998</v>
      </c>
      <c r="C32" s="25">
        <f>SUM(C24+C25+C26+C28+C30+C31)</f>
        <v>527667</v>
      </c>
      <c r="D32" s="25">
        <f>D24+D25+D26+D28+D30+D31</f>
        <v>546889</v>
      </c>
      <c r="E32" s="25">
        <f>E24+E25+E26+E28+E30+E31</f>
        <v>551272</v>
      </c>
      <c r="F32" s="21"/>
    </row>
    <row r="33" spans="1:6" ht="15.75" x14ac:dyDescent="0.25">
      <c r="A33" s="19" t="s">
        <v>89</v>
      </c>
      <c r="B33" s="20">
        <v>0</v>
      </c>
      <c r="C33" s="20">
        <v>3258</v>
      </c>
      <c r="D33" s="20">
        <v>3258</v>
      </c>
      <c r="E33" s="20">
        <v>3258</v>
      </c>
      <c r="F33" s="21" t="s">
        <v>108</v>
      </c>
    </row>
    <row r="34" spans="1:6" ht="15.75" x14ac:dyDescent="0.25">
      <c r="A34" s="33" t="s">
        <v>51</v>
      </c>
      <c r="B34" s="27">
        <f>B32+B33</f>
        <v>498119.36599999998</v>
      </c>
      <c r="C34" s="27">
        <f>C32+C33</f>
        <v>530925</v>
      </c>
      <c r="D34" s="27">
        <f>SUM(D32:D33)</f>
        <v>550147</v>
      </c>
      <c r="E34" s="27">
        <f>SUM(E32:E33)</f>
        <v>554530</v>
      </c>
      <c r="F34" s="21"/>
    </row>
    <row r="36" spans="1:6" x14ac:dyDescent="0.25">
      <c r="A36"/>
    </row>
    <row r="37" spans="1:6" x14ac:dyDescent="0.25">
      <c r="A37"/>
    </row>
    <row r="38" spans="1:6" x14ac:dyDescent="0.25">
      <c r="A38"/>
    </row>
    <row r="40" spans="1:6" x14ac:dyDescent="0.25">
      <c r="A40" s="80" t="s">
        <v>130</v>
      </c>
    </row>
  </sheetData>
  <mergeCells count="6">
    <mergeCell ref="A9:C9"/>
    <mergeCell ref="B1:C1"/>
    <mergeCell ref="A3:C3"/>
    <mergeCell ref="A4:C4"/>
    <mergeCell ref="A5:C5"/>
    <mergeCell ref="A6:C6"/>
  </mergeCells>
  <phoneticPr fontId="15" type="noConversion"/>
  <pageMargins left="0.70000000000000007" right="0.70000000000000007" top="1.1437007874015752" bottom="1.1437007874015752" header="0.75000000000000011" footer="0.75000000000000011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címrend</vt:lpstr>
      <vt:lpstr>összevont ktg.mérleg</vt:lpstr>
      <vt:lpstr>KESZI ktg. mérleg</vt:lpstr>
      <vt:lpstr>KGYCSSZK ktg. mérleg</vt:lpstr>
      <vt:lpstr>társulás ktg. mérleg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2015-11-16T14:00:39Z</cp:lastPrinted>
  <dcterms:created xsi:type="dcterms:W3CDTF">2013-02-08T06:54:51Z</dcterms:created>
  <dcterms:modified xsi:type="dcterms:W3CDTF">2016-04-11T08:33:58Z</dcterms:modified>
</cp:coreProperties>
</file>