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1035" windowWidth="15480" windowHeight="6885" activeTab="6"/>
  </bookViews>
  <sheets>
    <sheet name="1_" sheetId="1" r:id="rId1"/>
    <sheet name="2A" sheetId="2" r:id="rId2"/>
    <sheet name="2B" sheetId="3" r:id="rId3"/>
    <sheet name="2C" sheetId="4" r:id="rId4"/>
    <sheet name="2D" sheetId="5" r:id="rId5"/>
    <sheet name="3" sheetId="8" r:id="rId6"/>
    <sheet name="4" sheetId="13" r:id="rId7"/>
    <sheet name="5" sheetId="14" r:id="rId8"/>
  </sheets>
  <externalReferences>
    <externalReference r:id="rId9"/>
    <externalReference r:id="rId10"/>
  </externalReferences>
  <calcPr calcId="145621"/>
</workbook>
</file>

<file path=xl/calcChain.xml><?xml version="1.0" encoding="utf-8"?>
<calcChain xmlns="http://schemas.openxmlformats.org/spreadsheetml/2006/main">
  <c r="G19" i="8" l="1"/>
  <c r="G36" i="4"/>
  <c r="F34" i="4"/>
  <c r="G38" i="3"/>
  <c r="H20" i="14" l="1"/>
  <c r="H33" i="14"/>
  <c r="H32" i="14"/>
  <c r="H31" i="14"/>
  <c r="H21" i="14"/>
  <c r="H35" i="14" s="1"/>
  <c r="H19" i="14"/>
  <c r="H18" i="14"/>
  <c r="H17" i="14"/>
  <c r="H16" i="14"/>
  <c r="H15" i="14"/>
  <c r="H11" i="14"/>
  <c r="G11" i="14"/>
  <c r="H10" i="14"/>
  <c r="G10" i="14"/>
  <c r="H9" i="14"/>
  <c r="G9" i="14"/>
  <c r="G14" i="14"/>
  <c r="G16" i="14"/>
  <c r="E21" i="8"/>
  <c r="I28" i="8"/>
  <c r="H21" i="8"/>
  <c r="G20" i="8"/>
  <c r="D20" i="8"/>
  <c r="H20" i="8"/>
  <c r="D19" i="8"/>
  <c r="H19" i="8"/>
  <c r="C28" i="8"/>
  <c r="B28" i="8"/>
  <c r="B27" i="8"/>
  <c r="B26" i="8"/>
  <c r="B21" i="8"/>
  <c r="E20" i="8"/>
  <c r="B20" i="8"/>
  <c r="E19" i="8"/>
  <c r="B19" i="8"/>
  <c r="G13" i="8"/>
  <c r="F13" i="8"/>
  <c r="D13" i="8"/>
  <c r="C13" i="8"/>
  <c r="B13" i="8"/>
  <c r="G12" i="8"/>
  <c r="E12" i="8"/>
  <c r="D12" i="8"/>
  <c r="C12" i="8"/>
  <c r="B12" i="8"/>
  <c r="G11" i="8"/>
  <c r="E11" i="8"/>
  <c r="D11" i="8"/>
  <c r="C11" i="8"/>
  <c r="B11" i="8"/>
  <c r="N22" i="2"/>
  <c r="M22" i="2"/>
  <c r="M33" i="2"/>
  <c r="M28" i="2"/>
  <c r="M31" i="2" s="1"/>
  <c r="N32" i="2"/>
  <c r="N30" i="2"/>
  <c r="N28" i="2"/>
  <c r="N31" i="2" s="1"/>
  <c r="N33" i="2" s="1"/>
  <c r="N27" i="2"/>
  <c r="N26" i="2"/>
  <c r="N25" i="2"/>
  <c r="N24" i="2"/>
  <c r="M24" i="2"/>
  <c r="N20" i="2"/>
  <c r="M20" i="2"/>
  <c r="N19" i="2"/>
  <c r="N18" i="2"/>
  <c r="N17" i="2"/>
  <c r="N16" i="2"/>
  <c r="N15" i="2"/>
  <c r="N14" i="2"/>
  <c r="N13" i="2"/>
  <c r="N12" i="2"/>
  <c r="N11" i="2"/>
  <c r="M18" i="2"/>
  <c r="M14" i="2"/>
  <c r="M13" i="2"/>
  <c r="M12" i="2"/>
  <c r="M11" i="2"/>
  <c r="L17" i="2"/>
  <c r="E20" i="5"/>
  <c r="E22" i="5" s="1"/>
  <c r="E28" i="5"/>
  <c r="L32" i="2"/>
  <c r="L28" i="2"/>
  <c r="L31" i="2" s="1"/>
  <c r="L33" i="2" s="1"/>
  <c r="L24" i="2"/>
  <c r="L21" i="2"/>
  <c r="L18" i="2"/>
  <c r="L15" i="2"/>
  <c r="L14" i="2"/>
  <c r="L13" i="2"/>
  <c r="L12" i="2"/>
  <c r="L11" i="2"/>
  <c r="E34" i="5"/>
  <c r="E32" i="5"/>
  <c r="E15" i="5"/>
  <c r="C43" i="4"/>
  <c r="D43" i="4"/>
  <c r="E43" i="4"/>
  <c r="E41" i="4"/>
  <c r="E40" i="4"/>
  <c r="E38" i="4"/>
  <c r="E30" i="4"/>
  <c r="E28" i="4"/>
  <c r="E24" i="4"/>
  <c r="E19" i="4"/>
  <c r="E18" i="4"/>
  <c r="E17" i="4"/>
  <c r="L20" i="2" l="1"/>
  <c r="L22" i="2" s="1"/>
  <c r="E54" i="3" l="1"/>
  <c r="F54" i="3"/>
  <c r="F44" i="3"/>
  <c r="E45" i="3"/>
  <c r="F33" i="3" l="1"/>
  <c r="F30" i="3"/>
  <c r="F26" i="3"/>
  <c r="F21" i="3"/>
  <c r="F19" i="3"/>
  <c r="F17" i="3"/>
  <c r="G18" i="14" l="1"/>
  <c r="I28" i="2" l="1"/>
  <c r="J28" i="2" s="1"/>
  <c r="K28" i="2"/>
  <c r="K31" i="2" s="1"/>
  <c r="K33" i="2" s="1"/>
  <c r="I19" i="8"/>
  <c r="I32" i="2"/>
  <c r="J32" i="2" s="1"/>
  <c r="I24" i="2"/>
  <c r="J24" i="2" s="1"/>
  <c r="I25" i="2"/>
  <c r="J25" i="2" s="1"/>
  <c r="I26" i="2"/>
  <c r="J26" i="2"/>
  <c r="J27" i="2"/>
  <c r="I30" i="2"/>
  <c r="J30" i="2" s="1"/>
  <c r="G33" i="14"/>
  <c r="I12" i="2"/>
  <c r="J12" i="2" s="1"/>
  <c r="I13" i="2"/>
  <c r="J13" i="2" s="1"/>
  <c r="J14" i="2"/>
  <c r="J15" i="2"/>
  <c r="J18" i="2"/>
  <c r="J19" i="2"/>
  <c r="I11" i="2"/>
  <c r="J21" i="2"/>
  <c r="K20" i="2"/>
  <c r="K22" i="2" s="1"/>
  <c r="E44" i="3"/>
  <c r="E52" i="3"/>
  <c r="E51" i="3"/>
  <c r="E50" i="3"/>
  <c r="E49" i="3"/>
  <c r="E30" i="3"/>
  <c r="E33" i="3" s="1"/>
  <c r="E19" i="3"/>
  <c r="E21" i="3" s="1"/>
  <c r="D36" i="4"/>
  <c r="D37" i="4"/>
  <c r="D38" i="4"/>
  <c r="D39" i="4"/>
  <c r="D41" i="4"/>
  <c r="D40" i="4"/>
  <c r="D28" i="4"/>
  <c r="D30" i="4"/>
  <c r="D18" i="4"/>
  <c r="D19" i="4" s="1"/>
  <c r="D32" i="5"/>
  <c r="D34" i="5" s="1"/>
  <c r="D22" i="5"/>
  <c r="D20" i="5"/>
  <c r="F15" i="2"/>
  <c r="B15" i="5"/>
  <c r="E15" i="2" s="1"/>
  <c r="C15" i="4"/>
  <c r="F14" i="2"/>
  <c r="D14" i="2"/>
  <c r="B15" i="4"/>
  <c r="C15" i="3"/>
  <c r="F33" i="14"/>
  <c r="F21" i="14"/>
  <c r="D38" i="3"/>
  <c r="D39" i="3"/>
  <c r="D40" i="3"/>
  <c r="D41" i="3"/>
  <c r="D42" i="3"/>
  <c r="E42" i="3" s="1"/>
  <c r="D43" i="3"/>
  <c r="D44" i="3"/>
  <c r="D47" i="3"/>
  <c r="E47" i="3" s="1"/>
  <c r="C18" i="13"/>
  <c r="B17" i="13"/>
  <c r="B31" i="13" s="1"/>
  <c r="B13" i="13"/>
  <c r="I21" i="8"/>
  <c r="I27" i="8"/>
  <c r="I26" i="8"/>
  <c r="H29" i="8"/>
  <c r="G29" i="8"/>
  <c r="C13" i="5"/>
  <c r="H12" i="2" s="1"/>
  <c r="H13" i="8"/>
  <c r="C12" i="5"/>
  <c r="I20" i="8"/>
  <c r="C36" i="4"/>
  <c r="C34" i="4"/>
  <c r="D34" i="4" s="1"/>
  <c r="C17" i="4"/>
  <c r="C27" i="8"/>
  <c r="E14" i="8"/>
  <c r="D17" i="3"/>
  <c r="F18" i="2" s="1"/>
  <c r="G18" i="2" s="1"/>
  <c r="C26" i="8"/>
  <c r="D48" i="3"/>
  <c r="F21" i="2"/>
  <c r="G21" i="2" s="1"/>
  <c r="E28" i="2"/>
  <c r="E24" i="2"/>
  <c r="B29" i="5"/>
  <c r="B28" i="5"/>
  <c r="B24" i="4"/>
  <c r="C26" i="3"/>
  <c r="C31" i="3"/>
  <c r="C32" i="2" s="1"/>
  <c r="C30" i="2"/>
  <c r="D30" i="2" s="1"/>
  <c r="C26" i="2"/>
  <c r="C25" i="2"/>
  <c r="D25" i="2" s="1"/>
  <c r="B21" i="4"/>
  <c r="B24" i="2" s="1"/>
  <c r="C23" i="3"/>
  <c r="H28" i="2"/>
  <c r="C24" i="4"/>
  <c r="C28" i="4" s="1"/>
  <c r="C30" i="4" s="1"/>
  <c r="B14" i="5"/>
  <c r="E13" i="2" s="1"/>
  <c r="B13" i="5"/>
  <c r="E12" i="2"/>
  <c r="B12" i="5"/>
  <c r="C17" i="3"/>
  <c r="C18" i="2" s="1"/>
  <c r="D18" i="2" s="1"/>
  <c r="B21" i="5"/>
  <c r="B21" i="2" s="1"/>
  <c r="B14" i="4"/>
  <c r="C14" i="3"/>
  <c r="B13" i="4"/>
  <c r="B12" i="2" s="1"/>
  <c r="C13" i="3"/>
  <c r="B12" i="4"/>
  <c r="C12" i="3"/>
  <c r="F32" i="2"/>
  <c r="G32" i="2" s="1"/>
  <c r="H30" i="2"/>
  <c r="G30" i="2" s="1"/>
  <c r="F29" i="2"/>
  <c r="G29" i="2" s="1"/>
  <c r="G27" i="2"/>
  <c r="F26" i="2"/>
  <c r="H26" i="2"/>
  <c r="F25" i="2"/>
  <c r="H25" i="2"/>
  <c r="F24" i="2"/>
  <c r="H24" i="2"/>
  <c r="G19" i="2"/>
  <c r="H15" i="2"/>
  <c r="F13" i="2"/>
  <c r="H13" i="2"/>
  <c r="H11" i="2"/>
  <c r="F16" i="2"/>
  <c r="G16" i="2" s="1"/>
  <c r="F11" i="2"/>
  <c r="D46" i="3"/>
  <c r="E46" i="3" s="1"/>
  <c r="B43" i="4"/>
  <c r="B26" i="4"/>
  <c r="B32" i="5"/>
  <c r="B34" i="5" s="1"/>
  <c r="B17" i="5"/>
  <c r="D30" i="3"/>
  <c r="D33" i="3" s="1"/>
  <c r="C17" i="13"/>
  <c r="C31" i="13" s="1"/>
  <c r="C13" i="13"/>
  <c r="E33" i="14"/>
  <c r="E16" i="14"/>
  <c r="E15" i="14"/>
  <c r="E14" i="14"/>
  <c r="E13" i="14"/>
  <c r="E12" i="14"/>
  <c r="E11" i="14"/>
  <c r="E10" i="14"/>
  <c r="E9" i="14"/>
  <c r="F29" i="8"/>
  <c r="B29" i="8"/>
  <c r="C35" i="4"/>
  <c r="D35" i="4" s="1"/>
  <c r="C46" i="3"/>
  <c r="C48" i="3"/>
  <c r="C47" i="3"/>
  <c r="C44" i="3"/>
  <c r="C43" i="3"/>
  <c r="C41" i="3"/>
  <c r="C42" i="3"/>
  <c r="C40" i="3"/>
  <c r="C39" i="3"/>
  <c r="C38" i="3"/>
  <c r="E21" i="14"/>
  <c r="E35" i="14" s="1"/>
  <c r="C28" i="3"/>
  <c r="B28" i="3"/>
  <c r="B30" i="3" s="1"/>
  <c r="B33" i="3" s="1"/>
  <c r="B26" i="3"/>
  <c r="B14" i="3"/>
  <c r="B19" i="3" s="1"/>
  <c r="B21" i="3" s="1"/>
  <c r="F14" i="8"/>
  <c r="E26" i="2"/>
  <c r="D17" i="13"/>
  <c r="D31" i="13"/>
  <c r="F22" i="8"/>
  <c r="D22" i="8"/>
  <c r="C22" i="8"/>
  <c r="L29" i="2" s="1"/>
  <c r="N29" i="2" s="1"/>
  <c r="C32" i="5"/>
  <c r="C34" i="5"/>
  <c r="C18" i="4"/>
  <c r="C19" i="4"/>
  <c r="B41" i="3"/>
  <c r="B54" i="3"/>
  <c r="D27" i="2"/>
  <c r="D19" i="2"/>
  <c r="B14" i="8"/>
  <c r="E22" i="8"/>
  <c r="C20" i="5"/>
  <c r="C22" i="5" s="1"/>
  <c r="D14" i="8"/>
  <c r="I29" i="8" l="1"/>
  <c r="C29" i="8"/>
  <c r="B20" i="5"/>
  <c r="C14" i="8"/>
  <c r="F12" i="2"/>
  <c r="G12" i="2" s="1"/>
  <c r="B13" i="2"/>
  <c r="B28" i="4"/>
  <c r="B30" i="4" s="1"/>
  <c r="C24" i="2"/>
  <c r="B18" i="4"/>
  <c r="B19" i="4" s="1"/>
  <c r="G14" i="8"/>
  <c r="H12" i="8"/>
  <c r="B28" i="2"/>
  <c r="B31" i="2" s="1"/>
  <c r="B33" i="2" s="1"/>
  <c r="C13" i="2"/>
  <c r="D13" i="2" s="1"/>
  <c r="I22" i="8"/>
  <c r="G22" i="8"/>
  <c r="D26" i="2"/>
  <c r="G13" i="2"/>
  <c r="G24" i="2"/>
  <c r="G26" i="2"/>
  <c r="C12" i="2"/>
  <c r="D12" i="2" s="1"/>
  <c r="H11" i="8"/>
  <c r="H20" i="2"/>
  <c r="H22" i="2" s="1"/>
  <c r="D54" i="3"/>
  <c r="D24" i="2"/>
  <c r="G25" i="2"/>
  <c r="E40" i="3"/>
  <c r="C54" i="3"/>
  <c r="G15" i="2"/>
  <c r="H31" i="2"/>
  <c r="H33" i="2" s="1"/>
  <c r="E31" i="2"/>
  <c r="E33" i="2" s="1"/>
  <c r="G11" i="2"/>
  <c r="C11" i="2"/>
  <c r="C19" i="3"/>
  <c r="C21" i="3" s="1"/>
  <c r="B22" i="5"/>
  <c r="I31" i="2"/>
  <c r="B11" i="2"/>
  <c r="F28" i="2"/>
  <c r="F35" i="14"/>
  <c r="I20" i="2"/>
  <c r="J11" i="2"/>
  <c r="C29" i="2"/>
  <c r="D29" i="2" s="1"/>
  <c r="B29" i="2"/>
  <c r="C30" i="3"/>
  <c r="C33" i="3" s="1"/>
  <c r="C21" i="2"/>
  <c r="D21" i="2" s="1"/>
  <c r="E11" i="2"/>
  <c r="E20" i="2" s="1"/>
  <c r="E22" i="2" s="1"/>
  <c r="C28" i="2"/>
  <c r="B22" i="8"/>
  <c r="C14" i="2"/>
  <c r="B15" i="2"/>
  <c r="C15" i="2"/>
  <c r="D15" i="2" s="1"/>
  <c r="E48" i="3"/>
  <c r="G21" i="14"/>
  <c r="G35" i="14" s="1"/>
  <c r="D19" i="3"/>
  <c r="D21" i="3" s="1"/>
  <c r="G20" i="2" l="1"/>
  <c r="G22" i="2" s="1"/>
  <c r="F20" i="2"/>
  <c r="F22" i="2" s="1"/>
  <c r="H14" i="8"/>
  <c r="D28" i="2"/>
  <c r="C31" i="2"/>
  <c r="J20" i="2"/>
  <c r="I22" i="2"/>
  <c r="J22" i="2" s="1"/>
  <c r="B20" i="2"/>
  <c r="B22" i="2" s="1"/>
  <c r="D11" i="2"/>
  <c r="C20" i="2"/>
  <c r="G28" i="2"/>
  <c r="F31" i="2"/>
  <c r="J31" i="2"/>
  <c r="I33" i="2"/>
  <c r="J33" i="2" s="1"/>
  <c r="C22" i="2" l="1"/>
  <c r="D22" i="2" s="1"/>
  <c r="D20" i="2"/>
  <c r="C33" i="2"/>
  <c r="D33" i="2" s="1"/>
  <c r="D31" i="2"/>
  <c r="F33" i="2"/>
  <c r="G33" i="2" s="1"/>
  <c r="G31" i="2"/>
</calcChain>
</file>

<file path=xl/sharedStrings.xml><?xml version="1.0" encoding="utf-8"?>
<sst xmlns="http://schemas.openxmlformats.org/spreadsheetml/2006/main" count="468" uniqueCount="223">
  <si>
    <t>1. SZÁMÚ MELLÉKLET</t>
  </si>
  <si>
    <t>MOSONMAGYARÓVÁR TÉRSÉGI TÁRSULÁS</t>
  </si>
  <si>
    <t>A Mosonmagyaróvár Térségi Társulás és irányítása alá tartozó költségvetési szervek</t>
  </si>
  <si>
    <t xml:space="preserve"> CÍMRENDJÉT</t>
  </si>
  <si>
    <t>az alábbiak szerint állapítja meg:</t>
  </si>
  <si>
    <t>Címszám</t>
  </si>
  <si>
    <t>Megnevezés</t>
  </si>
  <si>
    <t>1.</t>
  </si>
  <si>
    <t>Mosonmagyaróvár Térségi Társulás</t>
  </si>
  <si>
    <t>2.</t>
  </si>
  <si>
    <t>Kistérségi Egyesített Szociális Intézmény</t>
  </si>
  <si>
    <t>3.</t>
  </si>
  <si>
    <t>2./A SZÁMÚ MELLÉKLET</t>
  </si>
  <si>
    <t>PÉNZFORGALMI MÉRLEG</t>
  </si>
  <si>
    <t>adatok ezer Ft-ban</t>
  </si>
  <si>
    <t>MOSONMAGYARÓVÁRI TÖBBCÉLÚ KISTÉRSÉGI TÁRSULÁS ÉS KÖLTSÉGVETÉSI SZERVEI</t>
  </si>
  <si>
    <t>kötelező</t>
  </si>
  <si>
    <t>önként</t>
  </si>
  <si>
    <t>eredeti</t>
  </si>
  <si>
    <t>Rovatrend</t>
  </si>
  <si>
    <t>előirányzat 2014.</t>
  </si>
  <si>
    <t>Személyi juttatások</t>
  </si>
  <si>
    <t>K1</t>
  </si>
  <si>
    <t>Munkaadót terhelő járulékok</t>
  </si>
  <si>
    <t>K2</t>
  </si>
  <si>
    <t>Dologi és egyéb folyó kiadások</t>
  </si>
  <si>
    <t>K3</t>
  </si>
  <si>
    <t>Pénzeszköz átadás, támogatás</t>
  </si>
  <si>
    <t>K4</t>
  </si>
  <si>
    <t>Felhalmozási kiadások</t>
  </si>
  <si>
    <t>K61-67, K71-74</t>
  </si>
  <si>
    <t>Hitelek és kölcsönök kiadásai</t>
  </si>
  <si>
    <t>K9111</t>
  </si>
  <si>
    <t>Pénzforgalmi kiadások</t>
  </si>
  <si>
    <t>Államháztartási tartalék</t>
  </si>
  <si>
    <t>Kiegyenlítő, átfutó, függő kiadás</t>
  </si>
  <si>
    <t>nem releváns</t>
  </si>
  <si>
    <t>Kiadások összesen:</t>
  </si>
  <si>
    <t>Intézményi működési bevételek</t>
  </si>
  <si>
    <t>B4</t>
  </si>
  <si>
    <t>Költségvetési visszatérülések</t>
  </si>
  <si>
    <t>Felhalmozási és tőke jellegű bevételek</t>
  </si>
  <si>
    <t>B21, B25, B52, B72, B73</t>
  </si>
  <si>
    <t xml:space="preserve">            ebből: sajátos felhalm. és tőkef.</t>
  </si>
  <si>
    <t>Támogatások, kiegészítések és átvett pénzeszközök</t>
  </si>
  <si>
    <t>B816</t>
  </si>
  <si>
    <t xml:space="preserve">            ebből: önkorm. költségvetési tám.  </t>
  </si>
  <si>
    <t>Hitelek, kölcsönök bevételei</t>
  </si>
  <si>
    <t>B8111</t>
  </si>
  <si>
    <t>Pénzforgalmi bevételek összesen</t>
  </si>
  <si>
    <t>Kiegyenlítő, átfutó, függő bevételek</t>
  </si>
  <si>
    <t>Bevételek összesen:</t>
  </si>
  <si>
    <t>2./B SZÁMÚ MELLÉKLET</t>
  </si>
  <si>
    <t>kötelező feladat</t>
  </si>
  <si>
    <t>KISTÉRSÉGI EGYESÍTETT SZOCIÁLIS INTÉZET</t>
  </si>
  <si>
    <t>B16, B63</t>
  </si>
  <si>
    <t>Irányító szervtől kapott támogatás</t>
  </si>
  <si>
    <t>adatok Ft-ban</t>
  </si>
  <si>
    <t>Szociális étkeztetés</t>
  </si>
  <si>
    <t>Házi segítségnyújtás</t>
  </si>
  <si>
    <t>Időskorúak nappali int. Ellátása</t>
  </si>
  <si>
    <t>Állami támogatás</t>
  </si>
  <si>
    <t>Fogyatékos és demens személyek ell.</t>
  </si>
  <si>
    <t>Hajléktalanok nappali ellátása</t>
  </si>
  <si>
    <t>Hajléktalanok átmeneti ellátása</t>
  </si>
  <si>
    <t>Bértámogatás szociális szféra</t>
  </si>
  <si>
    <t>intézmény üzemeltetési támogatás</t>
  </si>
  <si>
    <t>Gesztor önkormányzat támogatása</t>
  </si>
  <si>
    <t>Szociális foglalkoztatás támogatása (gesztor önk. Keresztül)</t>
  </si>
  <si>
    <t>2./C SZÁMÚ MELLÉKLET</t>
  </si>
  <si>
    <t>Kistérségi Gyermekjóléti és Családsegítő Szolgáltató Központ</t>
  </si>
  <si>
    <t>Felügyeleti szervtől átvett támogatás</t>
  </si>
  <si>
    <t>Szociális és gyermekjóléti alapszolg., állami támogatás</t>
  </si>
  <si>
    <t>Összesen</t>
  </si>
  <si>
    <t>2./D SZÁMÚ MELLÉKLET</t>
  </si>
  <si>
    <t>önként vállalt feladat</t>
  </si>
  <si>
    <t>*</t>
  </si>
  <si>
    <t>Felügyelet alá tartozó költségvetési szerv. Támogat.</t>
  </si>
  <si>
    <t>K915</t>
  </si>
  <si>
    <t>3. SZÁMÚ MELLÉKLET</t>
  </si>
  <si>
    <t>Intézmény megnevezése</t>
  </si>
  <si>
    <t>Járulékok</t>
  </si>
  <si>
    <t>Dologi kiadások</t>
  </si>
  <si>
    <t>Ellátottak juttatása</t>
  </si>
  <si>
    <t>Tartalékképzés</t>
  </si>
  <si>
    <t>Átadott pénzeszközök működési</t>
  </si>
  <si>
    <t>Mindösszesen:</t>
  </si>
  <si>
    <t>Intézmény saját bevételei</t>
  </si>
  <si>
    <t>MÖK támogatás</t>
  </si>
  <si>
    <t>Egyéb támogatás értékű műk. bevétel</t>
  </si>
  <si>
    <t>Feladatfinanszírozás</t>
  </si>
  <si>
    <t>Társulási támogatás</t>
  </si>
  <si>
    <t>Működési kiadások ezer Ft</t>
  </si>
  <si>
    <t>Működési bevételek ezer Ft</t>
  </si>
  <si>
    <t>Jogcím</t>
  </si>
  <si>
    <t xml:space="preserve"> TÁMOP 5.4.9-11/1-2012-0014</t>
  </si>
  <si>
    <t>Összesen:</t>
  </si>
  <si>
    <t>Kistérségi Egyesített Szociális Intézet</t>
  </si>
  <si>
    <t>és felügyelete alá tartozó költségvetési szerv</t>
  </si>
  <si>
    <t>Költségvetési engedélyzett létszámhely</t>
  </si>
  <si>
    <t>adatok: fő-ben</t>
  </si>
  <si>
    <t>Közfoglalkoztatottak átlagos létszáma</t>
  </si>
  <si>
    <t>(intézmény, szakfeladat, stb.)</t>
  </si>
  <si>
    <t>engedélyezett</t>
  </si>
  <si>
    <t>létszámhely</t>
  </si>
  <si>
    <t xml:space="preserve"> GyÁÓ</t>
  </si>
  <si>
    <t>Gyermekjóléti szolgálat</t>
  </si>
  <si>
    <t>Családsegítő</t>
  </si>
  <si>
    <t>Aranykor, kp.-i irányítás</t>
  </si>
  <si>
    <t>Gondozóház</t>
  </si>
  <si>
    <t>ESZO</t>
  </si>
  <si>
    <t xml:space="preserve"> Hajléktalan</t>
  </si>
  <si>
    <t xml:space="preserve"> Idősek klubja</t>
  </si>
  <si>
    <t xml:space="preserve"> FÉNI</t>
  </si>
  <si>
    <t xml:space="preserve"> Nappali melegedő</t>
  </si>
  <si>
    <t xml:space="preserve"> Szociális étkezés</t>
  </si>
  <si>
    <t xml:space="preserve"> Házi segítségnyújtás</t>
  </si>
  <si>
    <t xml:space="preserve"> Jelzőrendszer</t>
  </si>
  <si>
    <t xml:space="preserve"> Szoc. foglalkoztatás</t>
  </si>
  <si>
    <t>Állami támogatások</t>
  </si>
  <si>
    <t>100 Ft/lakos</t>
  </si>
  <si>
    <t>20 Ft/lakos</t>
  </si>
  <si>
    <t>előirányzat 2015.</t>
  </si>
  <si>
    <t>2015. év</t>
  </si>
  <si>
    <t>200 Ft/lakos</t>
  </si>
  <si>
    <t>…./2014. (XII.09.) Kt. Határozat alapján</t>
  </si>
  <si>
    <t>10 Ft/lakos</t>
  </si>
  <si>
    <t>2014. évi</t>
  </si>
  <si>
    <t>Térségi Társulás felé befizetett tagdíjból átadásra kerülő</t>
  </si>
  <si>
    <t>K5</t>
  </si>
  <si>
    <t>K513</t>
  </si>
  <si>
    <t>Felhalmozási kiadások ezer Ft</t>
  </si>
  <si>
    <t>Felhalmozási bevételek ezer Ft</t>
  </si>
  <si>
    <t>3.c.</t>
  </si>
  <si>
    <t>3.d.</t>
  </si>
  <si>
    <t>3.f.</t>
  </si>
  <si>
    <t>Időskorúak nappali int. ellátása</t>
  </si>
  <si>
    <t>3.g.</t>
  </si>
  <si>
    <t>Fogyatékos személyek napp. int. ellátása</t>
  </si>
  <si>
    <t>Foglalkoztatási támogatásban rész. fogy.</t>
  </si>
  <si>
    <t xml:space="preserve">3.g. </t>
  </si>
  <si>
    <t>Demens szem. napp. int. ellátása</t>
  </si>
  <si>
    <t xml:space="preserve">3.i. </t>
  </si>
  <si>
    <t>Hajléktalanik napp. int. ellátása</t>
  </si>
  <si>
    <t>3.k.</t>
  </si>
  <si>
    <t>Hajléktalanok Átmeneti Szállása</t>
  </si>
  <si>
    <t>4.a.</t>
  </si>
  <si>
    <t>Bértámogatás</t>
  </si>
  <si>
    <t>4.b.</t>
  </si>
  <si>
    <t>Intézmény-üzemeltetési támogatás</t>
  </si>
  <si>
    <t>Eredeti előirányzat</t>
  </si>
  <si>
    <t>mutató</t>
  </si>
  <si>
    <t>Fajlagos támogatás 2014. évi C. tv. Alapján</t>
  </si>
  <si>
    <t>3.a.</t>
  </si>
  <si>
    <t>Családsegítés</t>
  </si>
  <si>
    <t>L/7000*1 975 000</t>
  </si>
  <si>
    <t>3.aa.</t>
  </si>
  <si>
    <t>Családsegítés társult kiegészítés</t>
  </si>
  <si>
    <t>300 Ft/fő</t>
  </si>
  <si>
    <t>Gyeremkjóléti szolgáltatás</t>
  </si>
  <si>
    <t>Gyeremkjóléti szolg. társult kiegészítés</t>
  </si>
  <si>
    <t>1200 Ft/fő</t>
  </si>
  <si>
    <t>4.a</t>
  </si>
  <si>
    <t>GyÁÓ bértámogatás</t>
  </si>
  <si>
    <t>4.b</t>
  </si>
  <si>
    <t>GyÁÓ intézmény-üzelemtetés</t>
  </si>
  <si>
    <t>Feladat</t>
  </si>
  <si>
    <t>Mindösszesen</t>
  </si>
  <si>
    <t>2015. évi költségvetéséről szóló határozatához</t>
  </si>
  <si>
    <t>2015. január 1.</t>
  </si>
  <si>
    <t>módosított</t>
  </si>
  <si>
    <t>K502</t>
  </si>
  <si>
    <t>Maradvány felhasználás</t>
  </si>
  <si>
    <t>B8131</t>
  </si>
  <si>
    <t>2015. év eredeti</t>
  </si>
  <si>
    <t>Irányító szervi támogatás részletezése 2015. év eredeti és módosított</t>
  </si>
  <si>
    <t>Bérkompenzáció</t>
  </si>
  <si>
    <t>Tagönkormányzatok támogatása</t>
  </si>
  <si>
    <t>Bértámogatás és intézmény üzemeltetés támogatás mint állami támogatás</t>
  </si>
  <si>
    <t>bérkompenzáció</t>
  </si>
  <si>
    <t>Gyáó épület felújítására átadott előirányzat</t>
  </si>
  <si>
    <t>Jubileumi jutalom, felmentési bérekre átadott előirányzat</t>
  </si>
  <si>
    <t>2015. évi eredeti</t>
  </si>
  <si>
    <t>Jubileumi jutalom, felmentési bérek</t>
  </si>
  <si>
    <t>Felújításra átadott előirányzat</t>
  </si>
  <si>
    <t>5. számú melléklet</t>
  </si>
  <si>
    <t>Kiadások és Bevételek működési egyensúlya módosított előirányzat szerint</t>
  </si>
  <si>
    <t>Rovat: B113, B115</t>
  </si>
  <si>
    <t>Szociális ágazgati pótlék*</t>
  </si>
  <si>
    <t>Szociális ágazati pótlék*</t>
  </si>
  <si>
    <t>* A szociális ágazgati pótlék kiadás szintje eredeti előirányzatban tervezésre került, így a bevételt az intézmény finanszírozás eredeti előirányzatban</t>
  </si>
  <si>
    <t>Ellátottak pénzbeli juttatásai</t>
  </si>
  <si>
    <t>2015. ÉVI KÖLTSÉGVETÉSI HATÁROZATÁHOZ</t>
  </si>
  <si>
    <t>Elvonások és befizetések</t>
  </si>
  <si>
    <t>2015. ÉVI KÖLTSÉGVETÉSI HATÁROZAT MÓDOSÍTÁSA</t>
  </si>
  <si>
    <t>előirányzat 2015.07.31</t>
  </si>
  <si>
    <t>előirányzat 2015.09.30</t>
  </si>
  <si>
    <t>B813</t>
  </si>
  <si>
    <t>2015.07.31. mód.</t>
  </si>
  <si>
    <t>2015.09.30.mód.</t>
  </si>
  <si>
    <t>Szociális ágazati pótlék és kiegészítő pótlék</t>
  </si>
  <si>
    <t>2015.07.31 mód.</t>
  </si>
  <si>
    <t>2015.09.30 mód.</t>
  </si>
  <si>
    <t xml:space="preserve">módosított </t>
  </si>
  <si>
    <t>előirányzat 2015.09.31</t>
  </si>
  <si>
    <t>Módosított előirányzat 2015.07.31</t>
  </si>
  <si>
    <t>Módosított előirányzat 2015.09.30</t>
  </si>
  <si>
    <t>2015. évi költségvetéséről szóló 2/2015. (II.17.) TT. határozatot</t>
  </si>
  <si>
    <t>módosító …/2015. (XI.24.) TT. határozat</t>
  </si>
  <si>
    <t xml:space="preserve">K5 </t>
  </si>
  <si>
    <t>előirányzat 2015.12.31.</t>
  </si>
  <si>
    <t>Mosonmagyaróvár, 2016. február 2.</t>
  </si>
  <si>
    <t>2015.12.31 mód.</t>
  </si>
  <si>
    <t>2015.12.31.mód.</t>
  </si>
  <si>
    <t>Egyéb nettósításhoz kapcsolódó rendezések</t>
  </si>
  <si>
    <t>előirányzat 2015.12.31</t>
  </si>
  <si>
    <t>Felhalmozási célú pénzeszköz átadás</t>
  </si>
  <si>
    <t>K89</t>
  </si>
  <si>
    <t>B16, 816, B65</t>
  </si>
  <si>
    <t>2015. év terv 2015. december 31. módosított előirányzat</t>
  </si>
  <si>
    <t>2015. december 31.</t>
  </si>
  <si>
    <t>Módosított előirányzat 2015.12.31</t>
  </si>
  <si>
    <t xml:space="preserve">tartalmazza.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</si>
</sst>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[$-40E]General"/>
    <numFmt numFmtId="165" formatCode="&quot; &quot;#,##0&quot;     &quot;;&quot;-&quot;#,##0&quot;     &quot;;&quot; -&quot;#&quot;     &quot;;&quot; &quot;@&quot; &quot;"/>
    <numFmt numFmtId="166" formatCode="[$-40E]#,##0"/>
    <numFmt numFmtId="167" formatCode="&quot; &quot;#,##0&quot;    &quot;;&quot;-&quot;#,##0&quot;    &quot;;&quot; -&quot;00&quot;    &quot;;&quot; &quot;@&quot; &quot;"/>
    <numFmt numFmtId="168" formatCode="&quot; &quot;#,##0.00&quot;     &quot;;&quot;-&quot;#,##0.00&quot;     &quot;;&quot; -&quot;#&quot;     &quot;;&quot; &quot;@&quot; &quot;"/>
    <numFmt numFmtId="169" formatCode="&quot; &quot;#,##0.00&quot;    &quot;;&quot;-&quot;#,##0.00&quot;    &quot;;&quot; -&quot;00&quot;    &quot;;&quot; &quot;@&quot; &quot;"/>
    <numFmt numFmtId="170" formatCode="#,##0.00&quot; &quot;[$Ft-40E];[Red]&quot;-&quot;#,##0.00&quot; &quot;[$Ft-40E]"/>
  </numFmts>
  <fonts count="29" x14ac:knownFonts="1"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2"/>
      <color indexed="8"/>
      <name val="Calibri"/>
      <family val="2"/>
      <charset val="238"/>
    </font>
    <font>
      <i/>
      <sz val="12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8"/>
      <name val="Arial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13"/>
        <bgColor indexed="13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51"/>
      </patternFill>
    </fill>
  </fills>
  <borders count="28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12">
    <xf numFmtId="0" fontId="0" fillId="0" borderId="0"/>
    <xf numFmtId="168" fontId="25" fillId="0" borderId="0" applyBorder="0" applyProtection="0"/>
    <xf numFmtId="164" fontId="25" fillId="0" borderId="0" applyBorder="0" applyProtection="0"/>
    <xf numFmtId="169" fontId="1" fillId="0" borderId="0" applyFont="0" applyFill="0" applyBorder="0" applyAlignment="0" applyProtection="0"/>
    <xf numFmtId="0" fontId="26" fillId="0" borderId="0" applyNumberFormat="0" applyBorder="0" applyProtection="0">
      <alignment horizontal="center"/>
    </xf>
    <xf numFmtId="0" fontId="26" fillId="0" borderId="0" applyNumberFormat="0" applyBorder="0" applyProtection="0">
      <alignment horizontal="center" textRotation="90"/>
    </xf>
    <xf numFmtId="164" fontId="27" fillId="0" borderId="0" applyBorder="0" applyProtection="0"/>
    <xf numFmtId="164" fontId="27" fillId="0" borderId="0" applyBorder="0" applyProtection="0"/>
    <xf numFmtId="0" fontId="25" fillId="0" borderId="0" applyNumberFormat="0" applyBorder="0" applyProtection="0"/>
    <xf numFmtId="0" fontId="25" fillId="0" borderId="0" applyNumberFormat="0" applyBorder="0" applyProtection="0"/>
    <xf numFmtId="0" fontId="28" fillId="0" borderId="0" applyNumberFormat="0" applyBorder="0" applyProtection="0"/>
    <xf numFmtId="170" fontId="28" fillId="0" borderId="0" applyBorder="0" applyProtection="0"/>
  </cellStyleXfs>
  <cellXfs count="154">
    <xf numFmtId="0" fontId="0" fillId="0" borderId="0" xfId="0"/>
    <xf numFmtId="164" fontId="2" fillId="0" borderId="0" xfId="2" applyFont="1" applyFill="1" applyAlignment="1"/>
    <xf numFmtId="164" fontId="3" fillId="0" borderId="0" xfId="2" applyFont="1" applyFill="1" applyAlignment="1"/>
    <xf numFmtId="164" fontId="3" fillId="0" borderId="0" xfId="2" applyFont="1" applyFill="1" applyAlignment="1">
      <alignment horizontal="center"/>
    </xf>
    <xf numFmtId="164" fontId="5" fillId="0" borderId="0" xfId="2" applyFont="1" applyFill="1" applyAlignment="1">
      <alignment horizontal="center"/>
    </xf>
    <xf numFmtId="164" fontId="4" fillId="0" borderId="1" xfId="2" applyFont="1" applyFill="1" applyBorder="1" applyAlignment="1">
      <alignment horizontal="center" vertical="top" wrapText="1"/>
    </xf>
    <xf numFmtId="164" fontId="4" fillId="0" borderId="2" xfId="2" applyFont="1" applyFill="1" applyBorder="1" applyAlignment="1">
      <alignment horizontal="center" vertical="top" wrapText="1"/>
    </xf>
    <xf numFmtId="164" fontId="6" fillId="0" borderId="3" xfId="2" applyFont="1" applyFill="1" applyBorder="1" applyAlignment="1">
      <alignment horizontal="center" vertical="top" wrapText="1"/>
    </xf>
    <xf numFmtId="164" fontId="6" fillId="0" borderId="4" xfId="2" applyFont="1" applyFill="1" applyBorder="1" applyAlignment="1">
      <alignment horizontal="justify" vertical="top" wrapText="1"/>
    </xf>
    <xf numFmtId="164" fontId="6" fillId="0" borderId="2" xfId="2" applyFont="1" applyFill="1" applyBorder="1" applyAlignment="1">
      <alignment horizontal="justify" vertical="top" wrapText="1"/>
    </xf>
    <xf numFmtId="164" fontId="6" fillId="0" borderId="5" xfId="2" applyFont="1" applyFill="1" applyBorder="1" applyAlignment="1">
      <alignment horizontal="center" vertical="top" wrapText="1"/>
    </xf>
    <xf numFmtId="164" fontId="6" fillId="0" borderId="0" xfId="2" applyFont="1" applyFill="1" applyAlignment="1">
      <alignment horizontal="justify"/>
    </xf>
    <xf numFmtId="164" fontId="7" fillId="0" borderId="0" xfId="2" applyFont="1" applyFill="1" applyAlignment="1">
      <alignment horizontal="center"/>
    </xf>
    <xf numFmtId="164" fontId="8" fillId="2" borderId="0" xfId="2" applyFont="1" applyFill="1" applyAlignment="1">
      <alignment horizontal="center" wrapText="1"/>
    </xf>
    <xf numFmtId="164" fontId="9" fillId="0" borderId="6" xfId="2" applyFont="1" applyFill="1" applyBorder="1" applyAlignment="1">
      <alignment horizontal="center"/>
    </xf>
    <xf numFmtId="164" fontId="3" fillId="0" borderId="6" xfId="2" applyFont="1" applyFill="1" applyBorder="1" applyAlignment="1">
      <alignment horizontal="center"/>
    </xf>
    <xf numFmtId="164" fontId="9" fillId="0" borderId="7" xfId="2" applyFont="1" applyFill="1" applyBorder="1" applyAlignment="1">
      <alignment horizontal="center"/>
    </xf>
    <xf numFmtId="164" fontId="9" fillId="0" borderId="7" xfId="2" applyFont="1" applyFill="1" applyBorder="1" applyAlignment="1">
      <alignment horizontal="center" wrapText="1"/>
    </xf>
    <xf numFmtId="164" fontId="3" fillId="0" borderId="8" xfId="2" applyFont="1" applyFill="1" applyBorder="1" applyAlignment="1">
      <alignment horizontal="center"/>
    </xf>
    <xf numFmtId="164" fontId="10" fillId="0" borderId="9" xfId="2" applyFont="1" applyFill="1" applyBorder="1" applyAlignment="1"/>
    <xf numFmtId="166" fontId="10" fillId="0" borderId="9" xfId="2" applyNumberFormat="1" applyFont="1" applyFill="1" applyBorder="1" applyAlignment="1"/>
    <xf numFmtId="164" fontId="2" fillId="0" borderId="9" xfId="2" applyFont="1" applyFill="1" applyBorder="1" applyAlignment="1"/>
    <xf numFmtId="164" fontId="2" fillId="0" borderId="9" xfId="2" applyFont="1" applyFill="1" applyBorder="1" applyAlignment="1">
      <alignment wrapText="1"/>
    </xf>
    <xf numFmtId="166" fontId="10" fillId="0" borderId="10" xfId="2" applyNumberFormat="1" applyFont="1" applyFill="1" applyBorder="1" applyAlignment="1"/>
    <xf numFmtId="164" fontId="9" fillId="3" borderId="9" xfId="2" applyFont="1" applyFill="1" applyBorder="1" applyAlignment="1"/>
    <xf numFmtId="166" fontId="9" fillId="3" borderId="9" xfId="2" applyNumberFormat="1" applyFont="1" applyFill="1" applyBorder="1" applyAlignment="1"/>
    <xf numFmtId="166" fontId="9" fillId="3" borderId="10" xfId="2" applyNumberFormat="1" applyFont="1" applyFill="1" applyBorder="1" applyAlignment="1"/>
    <xf numFmtId="166" fontId="9" fillId="0" borderId="9" xfId="2" applyNumberFormat="1" applyFont="1" applyFill="1" applyBorder="1" applyAlignment="1"/>
    <xf numFmtId="166" fontId="9" fillId="0" borderId="10" xfId="2" applyNumberFormat="1" applyFont="1" applyFill="1" applyBorder="1" applyAlignment="1"/>
    <xf numFmtId="166" fontId="10" fillId="0" borderId="0" xfId="2" applyNumberFormat="1" applyFont="1" applyFill="1" applyAlignment="1"/>
    <xf numFmtId="164" fontId="11" fillId="0" borderId="9" xfId="2" applyFont="1" applyFill="1" applyBorder="1" applyAlignment="1"/>
    <xf numFmtId="164" fontId="10" fillId="0" borderId="0" xfId="2" applyFont="1" applyFill="1" applyAlignment="1"/>
    <xf numFmtId="166" fontId="9" fillId="3" borderId="0" xfId="2" applyNumberFormat="1" applyFont="1" applyFill="1" applyAlignment="1"/>
    <xf numFmtId="164" fontId="9" fillId="0" borderId="9" xfId="2" applyFont="1" applyFill="1" applyBorder="1" applyAlignment="1"/>
    <xf numFmtId="164" fontId="9" fillId="0" borderId="0" xfId="2" applyFont="1" applyFill="1" applyAlignment="1"/>
    <xf numFmtId="166" fontId="9" fillId="0" borderId="0" xfId="2" applyNumberFormat="1" applyFont="1" applyFill="1" applyAlignment="1"/>
    <xf numFmtId="164" fontId="8" fillId="2" borderId="0" xfId="2" applyFont="1" applyFill="1" applyAlignment="1"/>
    <xf numFmtId="164" fontId="8" fillId="2" borderId="0" xfId="2" applyFont="1" applyFill="1" applyAlignment="1">
      <alignment wrapText="1"/>
    </xf>
    <xf numFmtId="164" fontId="9" fillId="0" borderId="11" xfId="2" applyFont="1" applyFill="1" applyBorder="1" applyAlignment="1">
      <alignment horizontal="center"/>
    </xf>
    <xf numFmtId="164" fontId="9" fillId="0" borderId="12" xfId="2" applyFont="1" applyFill="1" applyBorder="1" applyAlignment="1">
      <alignment horizontal="center" wrapText="1"/>
    </xf>
    <xf numFmtId="0" fontId="12" fillId="0" borderId="0" xfId="0" applyFont="1"/>
    <xf numFmtId="49" fontId="0" fillId="0" borderId="9" xfId="0" applyNumberFormat="1" applyBorder="1"/>
    <xf numFmtId="49" fontId="0" fillId="0" borderId="9" xfId="0" applyNumberFormat="1" applyBorder="1" applyAlignment="1">
      <alignment wrapText="1"/>
    </xf>
    <xf numFmtId="167" fontId="3" fillId="0" borderId="0" xfId="3" applyNumberFormat="1" applyFont="1" applyFill="1" applyAlignment="1"/>
    <xf numFmtId="49" fontId="2" fillId="0" borderId="9" xfId="0" applyNumberFormat="1" applyFont="1" applyBorder="1" applyAlignment="1">
      <alignment wrapText="1"/>
    </xf>
    <xf numFmtId="164" fontId="7" fillId="0" borderId="0" xfId="2" applyFont="1" applyFill="1" applyAlignment="1">
      <alignment horizontal="center" wrapText="1"/>
    </xf>
    <xf numFmtId="164" fontId="2" fillId="0" borderId="0" xfId="2" applyFont="1" applyFill="1" applyAlignment="1">
      <alignment wrapText="1"/>
    </xf>
    <xf numFmtId="164" fontId="3" fillId="0" borderId="0" xfId="2" applyFont="1" applyFill="1" applyAlignment="1">
      <alignment wrapText="1"/>
    </xf>
    <xf numFmtId="165" fontId="13" fillId="0" borderId="9" xfId="1" applyNumberFormat="1" applyFont="1" applyFill="1" applyBorder="1" applyAlignment="1"/>
    <xf numFmtId="164" fontId="3" fillId="4" borderId="9" xfId="2" applyFont="1" applyFill="1" applyBorder="1" applyAlignment="1">
      <alignment wrapText="1"/>
    </xf>
    <xf numFmtId="165" fontId="3" fillId="4" borderId="9" xfId="1" applyNumberFormat="1" applyFont="1" applyFill="1" applyBorder="1" applyAlignment="1"/>
    <xf numFmtId="164" fontId="2" fillId="0" borderId="10" xfId="2" applyFont="1" applyFill="1" applyBorder="1" applyAlignment="1">
      <alignment wrapText="1"/>
    </xf>
    <xf numFmtId="165" fontId="14" fillId="0" borderId="9" xfId="1" applyNumberFormat="1" applyFont="1" applyFill="1" applyBorder="1" applyAlignment="1"/>
    <xf numFmtId="164" fontId="3" fillId="4" borderId="0" xfId="2" applyFont="1" applyFill="1" applyAlignment="1">
      <alignment wrapText="1"/>
    </xf>
    <xf numFmtId="165" fontId="7" fillId="4" borderId="0" xfId="2" applyNumberFormat="1" applyFont="1" applyFill="1" applyAlignment="1"/>
    <xf numFmtId="165" fontId="3" fillId="0" borderId="0" xfId="1" applyNumberFormat="1" applyFont="1" applyFill="1" applyAlignment="1"/>
    <xf numFmtId="165" fontId="7" fillId="0" borderId="0" xfId="1" applyNumberFormat="1" applyFont="1" applyFill="1" applyAlignment="1"/>
    <xf numFmtId="164" fontId="5" fillId="0" borderId="0" xfId="2" applyFont="1" applyFill="1" applyAlignment="1">
      <alignment horizontal="right"/>
    </xf>
    <xf numFmtId="164" fontId="5" fillId="0" borderId="0" xfId="2" applyFont="1" applyFill="1" applyAlignment="1"/>
    <xf numFmtId="164" fontId="5" fillId="0" borderId="0" xfId="2" applyFont="1" applyFill="1" applyAlignment="1">
      <alignment horizontal="justify"/>
    </xf>
    <xf numFmtId="164" fontId="15" fillId="0" borderId="0" xfId="2" applyFont="1" applyFill="1" applyAlignment="1"/>
    <xf numFmtId="164" fontId="5" fillId="0" borderId="13" xfId="2" applyFont="1" applyFill="1" applyBorder="1" applyAlignment="1">
      <alignment horizontal="center"/>
    </xf>
    <xf numFmtId="164" fontId="6" fillId="0" borderId="14" xfId="2" applyFont="1" applyFill="1" applyBorder="1" applyAlignment="1">
      <alignment horizontal="center" vertical="top" wrapText="1"/>
    </xf>
    <xf numFmtId="164" fontId="6" fillId="0" borderId="15" xfId="2" applyFont="1" applyFill="1" applyBorder="1" applyAlignment="1">
      <alignment horizontal="center" vertical="top" wrapText="1"/>
    </xf>
    <xf numFmtId="164" fontId="6" fillId="0" borderId="16" xfId="2" applyFont="1" applyFill="1" applyBorder="1" applyAlignment="1">
      <alignment horizontal="center" vertical="top" wrapText="1"/>
    </xf>
    <xf numFmtId="164" fontId="6" fillId="0" borderId="17" xfId="2" applyFont="1" applyFill="1" applyBorder="1" applyAlignment="1">
      <alignment horizontal="center" vertical="top" wrapText="1"/>
    </xf>
    <xf numFmtId="164" fontId="6" fillId="0" borderId="9" xfId="2" applyFont="1" applyFill="1" applyBorder="1" applyAlignment="1">
      <alignment horizontal="center" vertical="top" wrapText="1"/>
    </xf>
    <xf numFmtId="164" fontId="2" fillId="0" borderId="3" xfId="2" applyFont="1" applyFill="1" applyBorder="1" applyAlignment="1">
      <alignment vertical="top" wrapText="1"/>
    </xf>
    <xf numFmtId="164" fontId="6" fillId="0" borderId="18" xfId="2" applyFont="1" applyFill="1" applyBorder="1" applyAlignment="1">
      <alignment horizontal="center" vertical="top" wrapText="1"/>
    </xf>
    <xf numFmtId="164" fontId="5" fillId="4" borderId="5" xfId="2" applyFont="1" applyFill="1" applyBorder="1" applyAlignment="1">
      <alignment vertical="top" wrapText="1"/>
    </xf>
    <xf numFmtId="164" fontId="16" fillId="4" borderId="17" xfId="2" applyFont="1" applyFill="1" applyBorder="1" applyAlignment="1">
      <alignment horizontal="right" vertical="top" wrapText="1"/>
    </xf>
    <xf numFmtId="164" fontId="16" fillId="4" borderId="9" xfId="2" applyFont="1" applyFill="1" applyBorder="1" applyAlignment="1">
      <alignment horizontal="right" vertical="top" wrapText="1"/>
    </xf>
    <xf numFmtId="164" fontId="6" fillId="0" borderId="5" xfId="2" applyFont="1" applyFill="1" applyBorder="1" applyAlignment="1">
      <alignment vertical="top" wrapText="1"/>
    </xf>
    <xf numFmtId="164" fontId="17" fillId="0" borderId="17" xfId="2" applyFont="1" applyFill="1" applyBorder="1" applyAlignment="1">
      <alignment horizontal="right" vertical="top" wrapText="1"/>
    </xf>
    <xf numFmtId="164" fontId="17" fillId="0" borderId="9" xfId="2" applyFont="1" applyFill="1" applyBorder="1" applyAlignment="1">
      <alignment horizontal="right" vertical="top" wrapText="1"/>
    </xf>
    <xf numFmtId="164" fontId="17" fillId="0" borderId="6" xfId="2" applyFont="1" applyFill="1" applyBorder="1" applyAlignment="1">
      <alignment horizontal="right" vertical="top" wrapText="1"/>
    </xf>
    <xf numFmtId="164" fontId="16" fillId="4" borderId="6" xfId="2" applyFont="1" applyFill="1" applyBorder="1" applyAlignment="1">
      <alignment horizontal="right" vertical="top" wrapText="1"/>
    </xf>
    <xf numFmtId="49" fontId="0" fillId="0" borderId="0" xfId="0" applyNumberFormat="1" applyAlignment="1">
      <alignment wrapText="1"/>
    </xf>
    <xf numFmtId="3" fontId="2" fillId="0" borderId="0" xfId="0" applyNumberFormat="1" applyFont="1"/>
    <xf numFmtId="3" fontId="2" fillId="0" borderId="10" xfId="0" applyNumberFormat="1" applyFont="1" applyBorder="1"/>
    <xf numFmtId="164" fontId="2" fillId="0" borderId="19" xfId="2" applyFont="1" applyFill="1" applyBorder="1" applyAlignment="1"/>
    <xf numFmtId="167" fontId="2" fillId="0" borderId="19" xfId="3" applyNumberFormat="1" applyFont="1" applyFill="1" applyBorder="1" applyAlignment="1"/>
    <xf numFmtId="167" fontId="2" fillId="0" borderId="19" xfId="3" applyNumberFormat="1" applyFont="1" applyFill="1" applyBorder="1" applyAlignment="1">
      <alignment horizontal="right"/>
    </xf>
    <xf numFmtId="164" fontId="2" fillId="0" borderId="6" xfId="2" applyFont="1" applyFill="1" applyBorder="1" applyAlignment="1"/>
    <xf numFmtId="3" fontId="2" fillId="0" borderId="11" xfId="0" applyNumberFormat="1" applyFont="1" applyBorder="1"/>
    <xf numFmtId="167" fontId="2" fillId="0" borderId="20" xfId="3" applyNumberFormat="1" applyFont="1" applyFill="1" applyBorder="1" applyAlignment="1"/>
    <xf numFmtId="3" fontId="2" fillId="0" borderId="19" xfId="0" applyNumberFormat="1" applyFont="1" applyBorder="1"/>
    <xf numFmtId="0" fontId="12" fillId="0" borderId="0" xfId="0" applyFont="1" applyAlignment="1">
      <alignment wrapText="1"/>
    </xf>
    <xf numFmtId="165" fontId="7" fillId="0" borderId="0" xfId="2" applyNumberFormat="1" applyFont="1" applyFill="1" applyAlignment="1"/>
    <xf numFmtId="0" fontId="0" fillId="0" borderId="0" xfId="0" applyFill="1"/>
    <xf numFmtId="164" fontId="2" fillId="0" borderId="19" xfId="2" applyFont="1" applyFill="1" applyBorder="1" applyAlignment="1">
      <alignment wrapText="1"/>
    </xf>
    <xf numFmtId="164" fontId="6" fillId="0" borderId="0" xfId="2" applyFont="1" applyFill="1" applyAlignme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Fill="1"/>
    <xf numFmtId="0" fontId="5" fillId="0" borderId="0" xfId="0" applyFont="1" applyAlignment="1">
      <alignment wrapText="1"/>
    </xf>
    <xf numFmtId="0" fontId="18" fillId="0" borderId="21" xfId="0" applyFont="1" applyBorder="1"/>
    <xf numFmtId="0" fontId="18" fillId="0" borderId="19" xfId="0" applyFont="1" applyBorder="1"/>
    <xf numFmtId="3" fontId="18" fillId="0" borderId="19" xfId="0" applyNumberFormat="1" applyFont="1" applyBorder="1" applyAlignment="1">
      <alignment horizontal="right"/>
    </xf>
    <xf numFmtId="3" fontId="18" fillId="0" borderId="19" xfId="0" applyNumberFormat="1" applyFont="1" applyBorder="1"/>
    <xf numFmtId="0" fontId="18" fillId="0" borderId="22" xfId="0" applyFont="1" applyBorder="1"/>
    <xf numFmtId="0" fontId="18" fillId="0" borderId="20" xfId="0" applyFont="1" applyBorder="1"/>
    <xf numFmtId="3" fontId="18" fillId="0" borderId="20" xfId="0" applyNumberFormat="1" applyFont="1" applyBorder="1"/>
    <xf numFmtId="0" fontId="18" fillId="0" borderId="19" xfId="0" applyFont="1" applyBorder="1" applyAlignment="1">
      <alignment horizontal="right"/>
    </xf>
    <xf numFmtId="0" fontId="18" fillId="0" borderId="0" xfId="0" applyFont="1" applyBorder="1"/>
    <xf numFmtId="3" fontId="19" fillId="0" borderId="0" xfId="0" applyNumberFormat="1" applyFont="1" applyBorder="1"/>
    <xf numFmtId="167" fontId="5" fillId="0" borderId="0" xfId="3" applyNumberFormat="1" applyFont="1" applyFill="1" applyAlignment="1"/>
    <xf numFmtId="0" fontId="18" fillId="0" borderId="23" xfId="0" applyFont="1" applyBorder="1"/>
    <xf numFmtId="0" fontId="19" fillId="0" borderId="0" xfId="0" applyFont="1" applyBorder="1"/>
    <xf numFmtId="164" fontId="5" fillId="0" borderId="0" xfId="2" applyFont="1" applyFill="1" applyBorder="1" applyAlignment="1">
      <alignment horizontal="center"/>
    </xf>
    <xf numFmtId="164" fontId="17" fillId="0" borderId="24" xfId="2" applyFont="1" applyFill="1" applyBorder="1" applyAlignment="1">
      <alignment horizontal="right" vertical="top" wrapText="1"/>
    </xf>
    <xf numFmtId="164" fontId="16" fillId="4" borderId="24" xfId="2" applyFont="1" applyFill="1" applyBorder="1" applyAlignment="1">
      <alignment horizontal="right" vertical="top" wrapText="1"/>
    </xf>
    <xf numFmtId="166" fontId="9" fillId="3" borderId="0" xfId="2" applyNumberFormat="1" applyFont="1" applyFill="1" applyBorder="1" applyAlignment="1"/>
    <xf numFmtId="166" fontId="10" fillId="0" borderId="0" xfId="2" applyNumberFormat="1" applyFont="1" applyFill="1" applyBorder="1" applyAlignment="1"/>
    <xf numFmtId="166" fontId="10" fillId="0" borderId="19" xfId="2" applyNumberFormat="1" applyFont="1" applyFill="1" applyBorder="1" applyAlignment="1"/>
    <xf numFmtId="0" fontId="6" fillId="0" borderId="0" xfId="0" applyFont="1" applyAlignment="1">
      <alignment horizontal="right"/>
    </xf>
    <xf numFmtId="167" fontId="2" fillId="0" borderId="0" xfId="3" applyNumberFormat="1" applyFont="1" applyFill="1" applyAlignment="1"/>
    <xf numFmtId="166" fontId="9" fillId="0" borderId="11" xfId="2" applyNumberFormat="1" applyFont="1" applyFill="1" applyBorder="1" applyAlignment="1"/>
    <xf numFmtId="166" fontId="9" fillId="0" borderId="19" xfId="2" applyNumberFormat="1" applyFont="1" applyFill="1" applyBorder="1" applyAlignment="1"/>
    <xf numFmtId="166" fontId="9" fillId="3" borderId="11" xfId="2" applyNumberFormat="1" applyFont="1" applyFill="1" applyBorder="1" applyAlignment="1"/>
    <xf numFmtId="3" fontId="18" fillId="0" borderId="25" xfId="0" applyNumberFormat="1" applyFont="1" applyBorder="1"/>
    <xf numFmtId="3" fontId="18" fillId="0" borderId="26" xfId="0" applyNumberFormat="1" applyFont="1" applyBorder="1"/>
    <xf numFmtId="164" fontId="5" fillId="0" borderId="0" xfId="2" applyFont="1" applyFill="1" applyAlignment="1">
      <alignment wrapText="1"/>
    </xf>
    <xf numFmtId="166" fontId="10" fillId="0" borderId="25" xfId="2" applyNumberFormat="1" applyFont="1" applyFill="1" applyBorder="1" applyAlignment="1"/>
    <xf numFmtId="164" fontId="2" fillId="0" borderId="20" xfId="2" applyFont="1" applyFill="1" applyBorder="1" applyAlignment="1"/>
    <xf numFmtId="3" fontId="2" fillId="0" borderId="20" xfId="0" applyNumberFormat="1" applyFont="1" applyBorder="1"/>
    <xf numFmtId="164" fontId="2" fillId="5" borderId="0" xfId="2" applyFont="1" applyFill="1" applyAlignment="1"/>
    <xf numFmtId="164" fontId="3" fillId="5" borderId="0" xfId="2" applyFont="1" applyFill="1" applyAlignment="1"/>
    <xf numFmtId="166" fontId="9" fillId="6" borderId="9" xfId="2" applyNumberFormat="1" applyFont="1" applyFill="1" applyBorder="1" applyAlignment="1"/>
    <xf numFmtId="166" fontId="9" fillId="7" borderId="9" xfId="2" applyNumberFormat="1" applyFont="1" applyFill="1" applyBorder="1" applyAlignment="1"/>
    <xf numFmtId="3" fontId="23" fillId="0" borderId="19" xfId="0" applyNumberFormat="1" applyFont="1" applyBorder="1"/>
    <xf numFmtId="166" fontId="24" fillId="0" borderId="9" xfId="2" applyNumberFormat="1" applyFont="1" applyFill="1" applyBorder="1" applyAlignment="1"/>
    <xf numFmtId="166" fontId="24" fillId="0" borderId="10" xfId="2" applyNumberFormat="1" applyFont="1" applyFill="1" applyBorder="1" applyAlignment="1"/>
    <xf numFmtId="166" fontId="24" fillId="0" borderId="11" xfId="2" applyNumberFormat="1" applyFont="1" applyFill="1" applyBorder="1" applyAlignment="1"/>
    <xf numFmtId="0" fontId="0" fillId="0" borderId="0" xfId="0"/>
    <xf numFmtId="164" fontId="7" fillId="0" borderId="0" xfId="2" applyFont="1" applyFill="1" applyAlignment="1">
      <alignment horizontal="center"/>
    </xf>
    <xf numFmtId="167" fontId="2" fillId="0" borderId="0" xfId="3" applyNumberFormat="1" applyFont="1" applyFill="1" applyBorder="1" applyAlignment="1"/>
    <xf numFmtId="169" fontId="2" fillId="0" borderId="0" xfId="3" applyFont="1" applyFill="1" applyAlignment="1"/>
    <xf numFmtId="164" fontId="2" fillId="0" borderId="0" xfId="2" applyFont="1" applyFill="1" applyBorder="1" applyAlignment="1"/>
    <xf numFmtId="164" fontId="22" fillId="0" borderId="0" xfId="2" applyFont="1" applyFill="1" applyAlignment="1"/>
    <xf numFmtId="164" fontId="21" fillId="0" borderId="0" xfId="2" applyFont="1" applyFill="1" applyBorder="1" applyAlignment="1"/>
    <xf numFmtId="0" fontId="6" fillId="0" borderId="0" xfId="0" applyFont="1" applyBorder="1"/>
    <xf numFmtId="164" fontId="5" fillId="0" borderId="0" xfId="2" applyFont="1" applyFill="1" applyAlignment="1">
      <alignment horizontal="center"/>
    </xf>
    <xf numFmtId="164" fontId="3" fillId="0" borderId="0" xfId="2" applyFont="1" applyFill="1" applyAlignment="1">
      <alignment horizontal="center"/>
    </xf>
    <xf numFmtId="164" fontId="4" fillId="0" borderId="0" xfId="2" applyFont="1" applyFill="1" applyAlignment="1">
      <alignment horizontal="center"/>
    </xf>
    <xf numFmtId="0" fontId="0" fillId="0" borderId="0" xfId="0"/>
    <xf numFmtId="164" fontId="22" fillId="0" borderId="0" xfId="2" applyFont="1" applyFill="1" applyAlignment="1">
      <alignment horizontal="center"/>
    </xf>
    <xf numFmtId="164" fontId="7" fillId="0" borderId="0" xfId="2" applyFont="1" applyFill="1" applyAlignment="1">
      <alignment horizontal="center"/>
    </xf>
    <xf numFmtId="164" fontId="8" fillId="2" borderId="27" xfId="2" applyFont="1" applyFill="1" applyBorder="1" applyAlignment="1">
      <alignment horizontal="center" wrapText="1"/>
    </xf>
    <xf numFmtId="164" fontId="5" fillId="0" borderId="0" xfId="2" applyFont="1" applyFill="1" applyAlignment="1">
      <alignment horizontal="center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0" borderId="0" xfId="0" applyFont="1" applyFill="1" applyAlignment="1">
      <alignment horizontal="left"/>
    </xf>
    <xf numFmtId="0" fontId="5" fillId="0" borderId="0" xfId="0" applyFont="1" applyAlignment="1">
      <alignment horizontal="center"/>
    </xf>
  </cellXfs>
  <cellStyles count="12">
    <cellStyle name="Excel Built-in Comma" xfId="1"/>
    <cellStyle name="Excel Built-in Normal" xfId="2"/>
    <cellStyle name="Ezres" xfId="3" builtinId="3" customBuiltin="1"/>
    <cellStyle name="Heading" xfId="4"/>
    <cellStyle name="Heading1" xfId="5"/>
    <cellStyle name="Normál" xfId="0" builtinId="0" customBuiltin="1"/>
    <cellStyle name="Normál 2" xfId="6"/>
    <cellStyle name="Normál 2 2" xfId="7"/>
    <cellStyle name="Normál 3" xfId="8"/>
    <cellStyle name="Normál 4" xfId="9"/>
    <cellStyle name="Result" xfId="10"/>
    <cellStyle name="Result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lnar.ildiko\2015\koncepci&#243;\&#225;tn&#233;zett%20tervek\T&#225;rsul&#225;s%20k&#246;lts&#233;gvet&#233;si%20terv%202015.%20&#233;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lnar.ildiko\AppData\Local\Microsoft\Windows\Temporary%20Internet%20Files\Content.Outlook\3IQVGSZ2\2015%20%20normat&#237;va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KESZI költségvetés"/>
      <sheetName val="KGYCSSZK költségvetés"/>
      <sheetName val="Munka2"/>
      <sheetName val="Munka3"/>
    </sheetNames>
    <sheetDataSet>
      <sheetData sheetId="0" refreshError="1">
        <row r="6">
          <cell r="C6">
            <v>1000000</v>
          </cell>
        </row>
        <row r="11">
          <cell r="C11">
            <v>511700</v>
          </cell>
        </row>
        <row r="19">
          <cell r="C19">
            <v>12821300</v>
          </cell>
        </row>
        <row r="24">
          <cell r="C24">
            <v>6127000</v>
          </cell>
        </row>
        <row r="25">
          <cell r="C25">
            <v>18060000</v>
          </cell>
        </row>
        <row r="33">
          <cell r="C33">
            <v>459599366</v>
          </cell>
        </row>
        <row r="44">
          <cell r="C44">
            <v>10091000</v>
          </cell>
        </row>
        <row r="45">
          <cell r="C45">
            <v>1900332</v>
          </cell>
        </row>
        <row r="46">
          <cell r="C46">
            <v>481128034</v>
          </cell>
        </row>
        <row r="47">
          <cell r="C47">
            <v>321246496</v>
          </cell>
        </row>
        <row r="65">
          <cell r="C65">
            <v>5000000</v>
          </cell>
        </row>
      </sheetData>
      <sheetData sheetId="1" refreshError="1">
        <row r="9">
          <cell r="D9">
            <v>286274</v>
          </cell>
        </row>
        <row r="10">
          <cell r="D10">
            <v>77778</v>
          </cell>
        </row>
        <row r="16">
          <cell r="D16">
            <v>188626</v>
          </cell>
        </row>
        <row r="17">
          <cell r="D17">
            <v>700</v>
          </cell>
        </row>
        <row r="18">
          <cell r="D18">
            <v>2435</v>
          </cell>
        </row>
        <row r="21">
          <cell r="D21">
            <v>30591</v>
          </cell>
        </row>
        <row r="22">
          <cell r="D22">
            <v>197930</v>
          </cell>
        </row>
        <row r="23">
          <cell r="D23">
            <v>4102</v>
          </cell>
        </row>
        <row r="24">
          <cell r="D24">
            <v>2435</v>
          </cell>
        </row>
        <row r="25">
          <cell r="D25">
            <v>231946</v>
          </cell>
        </row>
        <row r="26">
          <cell r="D26">
            <v>12615</v>
          </cell>
        </row>
        <row r="27">
          <cell r="D27">
            <v>72513</v>
          </cell>
        </row>
        <row r="28">
          <cell r="D28">
            <v>3681</v>
          </cell>
        </row>
      </sheetData>
      <sheetData sheetId="2" refreshError="1">
        <row r="4">
          <cell r="F4">
            <v>97862314</v>
          </cell>
        </row>
        <row r="5">
          <cell r="F5">
            <v>24495052</v>
          </cell>
        </row>
        <row r="19">
          <cell r="F19">
            <v>18677000</v>
          </cell>
        </row>
        <row r="20">
          <cell r="F20">
            <v>420000</v>
          </cell>
        </row>
        <row r="23">
          <cell r="F23">
            <v>370000</v>
          </cell>
        </row>
        <row r="24">
          <cell r="F24">
            <v>700000</v>
          </cell>
        </row>
        <row r="25">
          <cell r="F25">
            <v>1540000</v>
          </cell>
        </row>
        <row r="27">
          <cell r="F27">
            <v>138844366</v>
          </cell>
        </row>
        <row r="31">
          <cell r="F31">
            <v>7282500</v>
          </cell>
        </row>
        <row r="32">
          <cell r="F32">
            <v>42261266</v>
          </cell>
        </row>
      </sheetData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Munka1 (2)"/>
    </sheetNames>
    <sheetDataSet>
      <sheetData sheetId="0" refreshError="1">
        <row r="6">
          <cell r="E6">
            <v>20547110</v>
          </cell>
        </row>
        <row r="7">
          <cell r="E7">
            <v>21847500</v>
          </cell>
        </row>
        <row r="8">
          <cell r="E8">
            <v>20547110</v>
          </cell>
        </row>
        <row r="9">
          <cell r="E9">
            <v>15196800</v>
          </cell>
        </row>
        <row r="18">
          <cell r="E18">
            <v>25941696</v>
          </cell>
        </row>
        <row r="19">
          <cell r="E19">
            <v>36192000</v>
          </cell>
        </row>
        <row r="20">
          <cell r="E20">
            <v>6213000</v>
          </cell>
        </row>
        <row r="21">
          <cell r="E21">
            <v>6050000</v>
          </cell>
        </row>
        <row r="22">
          <cell r="E22">
            <v>3520000</v>
          </cell>
        </row>
        <row r="23">
          <cell r="E23">
            <v>15400000</v>
          </cell>
        </row>
        <row r="24">
          <cell r="E24">
            <v>8903520</v>
          </cell>
        </row>
        <row r="25">
          <cell r="E25">
            <v>20607400</v>
          </cell>
        </row>
        <row r="26">
          <cell r="E26">
            <v>83393280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6"/>
  <sheetViews>
    <sheetView topLeftCell="A14" workbookViewId="0">
      <selection activeCell="B24" sqref="B24"/>
    </sheetView>
  </sheetViews>
  <sheetFormatPr defaultColWidth="8.75" defaultRowHeight="15" x14ac:dyDescent="0.25"/>
  <cols>
    <col min="1" max="1" width="38.375" style="1" customWidth="1"/>
    <col min="2" max="2" width="39.5" style="1" customWidth="1"/>
    <col min="3" max="16384" width="8.75" style="1"/>
  </cols>
  <sheetData>
    <row r="1" spans="1:256" x14ac:dyDescent="0.25">
      <c r="B1" s="2" t="s">
        <v>0</v>
      </c>
    </row>
    <row r="2" spans="1:256" x14ac:dyDescent="0.25">
      <c r="B2" s="2"/>
    </row>
    <row r="3" spans="1:256" x14ac:dyDescent="0.25">
      <c r="B3" s="2"/>
    </row>
    <row r="4" spans="1:256" x14ac:dyDescent="0.25">
      <c r="B4" s="2"/>
    </row>
    <row r="5" spans="1:256" x14ac:dyDescent="0.25">
      <c r="A5" s="143" t="s">
        <v>1</v>
      </c>
      <c r="B5" s="143"/>
      <c r="C5" s="2"/>
    </row>
    <row r="6" spans="1:256" x14ac:dyDescent="0.25">
      <c r="A6" s="143" t="s">
        <v>192</v>
      </c>
      <c r="B6" s="143"/>
    </row>
    <row r="7" spans="1:256" x14ac:dyDescent="0.25">
      <c r="A7" s="2"/>
    </row>
    <row r="8" spans="1:256" x14ac:dyDescent="0.25">
      <c r="A8" s="2"/>
    </row>
    <row r="11" spans="1:256" x14ac:dyDescent="0.25">
      <c r="A11" s="143" t="s">
        <v>2</v>
      </c>
      <c r="B11" s="143"/>
    </row>
    <row r="12" spans="1:256" x14ac:dyDescent="0.25">
      <c r="A12" s="143" t="s">
        <v>207</v>
      </c>
      <c r="B12" s="143"/>
    </row>
    <row r="13" spans="1:256" customFormat="1" x14ac:dyDescent="0.25">
      <c r="A13" s="143" t="s">
        <v>208</v>
      </c>
      <c r="B13" s="143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customFormat="1" x14ac:dyDescent="0.25">
      <c r="A14" s="3"/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15.75" x14ac:dyDescent="0.25">
      <c r="A15" s="144" t="s">
        <v>3</v>
      </c>
      <c r="B15" s="144"/>
    </row>
    <row r="16" spans="1:256" ht="15.75" x14ac:dyDescent="0.25">
      <c r="A16" s="142" t="s">
        <v>4</v>
      </c>
      <c r="B16" s="142"/>
    </row>
    <row r="17" spans="1:2" ht="15.75" x14ac:dyDescent="0.25">
      <c r="A17" s="4"/>
      <c r="B17" s="4"/>
    </row>
    <row r="18" spans="1:2" ht="15.75" x14ac:dyDescent="0.25">
      <c r="A18" s="4"/>
      <c r="B18" s="4"/>
    </row>
    <row r="19" spans="1:2" ht="15.75" x14ac:dyDescent="0.25">
      <c r="A19" s="4"/>
    </row>
    <row r="20" spans="1:2" ht="16.5" thickBot="1" x14ac:dyDescent="0.3">
      <c r="A20" s="4"/>
    </row>
    <row r="21" spans="1:2" ht="17.25" thickTop="1" thickBot="1" x14ac:dyDescent="0.3">
      <c r="A21" s="5" t="s">
        <v>5</v>
      </c>
      <c r="B21" s="6" t="s">
        <v>6</v>
      </c>
    </row>
    <row r="22" spans="1:2" ht="48" customHeight="1" thickTop="1" thickBot="1" x14ac:dyDescent="0.3">
      <c r="A22" s="7" t="s">
        <v>7</v>
      </c>
      <c r="B22" s="8" t="s">
        <v>8</v>
      </c>
    </row>
    <row r="23" spans="1:2" ht="48" customHeight="1" thickTop="1" thickBot="1" x14ac:dyDescent="0.3">
      <c r="A23" s="7" t="s">
        <v>9</v>
      </c>
      <c r="B23" s="9" t="s">
        <v>10</v>
      </c>
    </row>
    <row r="24" spans="1:2" ht="48" customHeight="1" thickTop="1" thickBot="1" x14ac:dyDescent="0.3">
      <c r="A24" s="10" t="s">
        <v>11</v>
      </c>
      <c r="B24" s="9" t="s">
        <v>70</v>
      </c>
    </row>
    <row r="25" spans="1:2" ht="16.5" thickTop="1" x14ac:dyDescent="0.25">
      <c r="A25" s="11"/>
    </row>
    <row r="26" spans="1:2" ht="15.75" x14ac:dyDescent="0.25">
      <c r="A26" s="11"/>
    </row>
  </sheetData>
  <mergeCells count="7">
    <mergeCell ref="A16:B16"/>
    <mergeCell ref="A12:B12"/>
    <mergeCell ref="A13:B13"/>
    <mergeCell ref="A5:B5"/>
    <mergeCell ref="A6:B6"/>
    <mergeCell ref="A11:B11"/>
    <mergeCell ref="A15:B15"/>
  </mergeCells>
  <phoneticPr fontId="20" type="noConversion"/>
  <pageMargins left="1.24015748031496" right="0.70000000000000007" top="1.1437007874015752" bottom="1.1437007874015752" header="0.75000000000000011" footer="0.75000000000000011"/>
  <pageSetup paperSize="9" scale="9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Y43"/>
  <sheetViews>
    <sheetView topLeftCell="D16" workbookViewId="0">
      <selection activeCell="I28" sqref="I28"/>
    </sheetView>
  </sheetViews>
  <sheetFormatPr defaultColWidth="8.75" defaultRowHeight="15" x14ac:dyDescent="0.25"/>
  <cols>
    <col min="1" max="1" width="52.75" style="1" customWidth="1"/>
    <col min="2" max="2" width="17.875" style="1" hidden="1" customWidth="1"/>
    <col min="3" max="8" width="16.625" style="1" customWidth="1"/>
    <col min="9" max="9" width="11.875" style="1" bestFit="1" customWidth="1"/>
    <col min="10" max="11" width="11.375" style="1" bestFit="1" customWidth="1"/>
    <col min="12" max="14" width="11.375" style="1" customWidth="1"/>
    <col min="15" max="16384" width="8.75" style="1"/>
  </cols>
  <sheetData>
    <row r="1" spans="1:259" x14ac:dyDescent="0.25">
      <c r="B1" s="146" t="s">
        <v>12</v>
      </c>
      <c r="C1" s="146"/>
      <c r="D1" s="3"/>
      <c r="E1" s="3"/>
      <c r="F1" s="3"/>
      <c r="G1" s="3"/>
      <c r="H1" s="3"/>
    </row>
    <row r="2" spans="1:259" x14ac:dyDescent="0.25">
      <c r="B2" s="2"/>
    </row>
    <row r="3" spans="1:259" x14ac:dyDescent="0.25">
      <c r="A3" s="143" t="s">
        <v>1</v>
      </c>
      <c r="B3" s="143"/>
      <c r="C3" s="143"/>
      <c r="D3" s="3"/>
      <c r="E3" s="3"/>
      <c r="F3" s="3"/>
      <c r="G3" s="3"/>
      <c r="H3" s="3"/>
    </row>
    <row r="4" spans="1:259" x14ac:dyDescent="0.25">
      <c r="A4" s="143" t="s">
        <v>192</v>
      </c>
      <c r="B4" s="143"/>
      <c r="C4" s="143"/>
      <c r="D4" s="3"/>
      <c r="E4" s="3"/>
      <c r="F4" s="3"/>
      <c r="G4" s="3"/>
      <c r="H4" s="3"/>
    </row>
    <row r="5" spans="1:259" ht="15.75" x14ac:dyDescent="0.25">
      <c r="A5" s="147" t="s">
        <v>13</v>
      </c>
      <c r="B5" s="147"/>
      <c r="C5" s="147"/>
      <c r="D5" s="12"/>
      <c r="E5" s="12"/>
      <c r="F5" s="12"/>
      <c r="G5" s="12"/>
      <c r="H5" s="12"/>
    </row>
    <row r="6" spans="1:259" ht="15.75" x14ac:dyDescent="0.25">
      <c r="A6" s="147" t="s">
        <v>14</v>
      </c>
      <c r="B6" s="147"/>
      <c r="C6" s="147"/>
      <c r="D6" s="12"/>
      <c r="E6" s="12"/>
      <c r="F6" s="12"/>
      <c r="G6" s="12"/>
      <c r="H6" s="12"/>
    </row>
    <row r="7" spans="1:259" ht="15.75" x14ac:dyDescent="0.25">
      <c r="A7" s="12"/>
      <c r="B7" s="12"/>
      <c r="C7" s="12"/>
      <c r="D7" s="12"/>
      <c r="E7" s="12"/>
      <c r="F7" s="12"/>
      <c r="G7" s="12"/>
      <c r="H7" s="12"/>
    </row>
    <row r="8" spans="1:259" ht="15.75" customHeight="1" x14ac:dyDescent="0.25">
      <c r="A8" s="148" t="s">
        <v>15</v>
      </c>
      <c r="B8" s="148"/>
      <c r="C8" s="148"/>
      <c r="D8" s="13" t="s">
        <v>16</v>
      </c>
      <c r="E8" s="13" t="s">
        <v>17</v>
      </c>
      <c r="F8" s="13"/>
      <c r="G8" s="13" t="s">
        <v>16</v>
      </c>
      <c r="H8" s="13" t="s">
        <v>17</v>
      </c>
      <c r="I8" s="126"/>
      <c r="J8" s="127" t="s">
        <v>16</v>
      </c>
      <c r="K8" s="127" t="s">
        <v>17</v>
      </c>
      <c r="L8" s="127"/>
      <c r="M8" s="127" t="s">
        <v>16</v>
      </c>
      <c r="N8" s="127" t="s">
        <v>17</v>
      </c>
    </row>
    <row r="9" spans="1:259" ht="15.75" x14ac:dyDescent="0.25">
      <c r="A9" s="14" t="s">
        <v>6</v>
      </c>
      <c r="B9" s="14" t="s">
        <v>18</v>
      </c>
      <c r="C9" s="14" t="s">
        <v>18</v>
      </c>
      <c r="D9" s="14" t="s">
        <v>18</v>
      </c>
      <c r="E9" s="14" t="s">
        <v>18</v>
      </c>
      <c r="F9" s="14" t="s">
        <v>170</v>
      </c>
      <c r="G9" s="14" t="s">
        <v>170</v>
      </c>
      <c r="H9" s="14" t="s">
        <v>170</v>
      </c>
      <c r="I9" s="14" t="s">
        <v>203</v>
      </c>
      <c r="J9" s="14" t="s">
        <v>170</v>
      </c>
      <c r="K9" s="14" t="s">
        <v>170</v>
      </c>
      <c r="L9" s="14" t="s">
        <v>203</v>
      </c>
      <c r="M9" s="14" t="s">
        <v>170</v>
      </c>
      <c r="N9" s="14" t="s">
        <v>170</v>
      </c>
      <c r="O9" s="15" t="s">
        <v>19</v>
      </c>
    </row>
    <row r="10" spans="1:259" ht="33.75" customHeight="1" x14ac:dyDescent="0.25">
      <c r="A10" s="16"/>
      <c r="B10" s="17" t="s">
        <v>20</v>
      </c>
      <c r="C10" s="17" t="s">
        <v>122</v>
      </c>
      <c r="D10" s="17" t="s">
        <v>122</v>
      </c>
      <c r="E10" s="17" t="s">
        <v>122</v>
      </c>
      <c r="F10" s="17" t="s">
        <v>195</v>
      </c>
      <c r="G10" s="17" t="s">
        <v>195</v>
      </c>
      <c r="H10" s="17" t="s">
        <v>195</v>
      </c>
      <c r="I10" s="17" t="s">
        <v>196</v>
      </c>
      <c r="J10" s="17" t="s">
        <v>196</v>
      </c>
      <c r="K10" s="17" t="s">
        <v>204</v>
      </c>
      <c r="L10" s="17" t="s">
        <v>215</v>
      </c>
      <c r="M10" s="17" t="s">
        <v>215</v>
      </c>
      <c r="N10" s="17" t="s">
        <v>215</v>
      </c>
      <c r="O10" s="18" t="s">
        <v>123</v>
      </c>
    </row>
    <row r="11" spans="1:259" ht="15.75" x14ac:dyDescent="0.25">
      <c r="A11" s="19" t="s">
        <v>21</v>
      </c>
      <c r="B11" s="20">
        <f>'2B'!B12+'2C'!B12+'2D'!B12</f>
        <v>363679.31400000001</v>
      </c>
      <c r="C11" s="20">
        <f>'2B'!C12+'2C'!B12+'2D'!B12</f>
        <v>385136.31400000001</v>
      </c>
      <c r="D11" s="20">
        <f t="shared" ref="D11:D21" si="0">SUM(C11-E11)</f>
        <v>384136.31400000001</v>
      </c>
      <c r="E11" s="20">
        <f>'2D'!B12</f>
        <v>1000</v>
      </c>
      <c r="F11" s="20">
        <f>'2B'!D12+'2C'!C12+'2D'!C12</f>
        <v>396602</v>
      </c>
      <c r="G11" s="20">
        <f>F11-H11</f>
        <v>395602</v>
      </c>
      <c r="H11" s="20">
        <f>'2D'!C12</f>
        <v>1000</v>
      </c>
      <c r="I11" s="20">
        <f>'2B'!E12+'2C'!D12+'2D'!D12</f>
        <v>413848</v>
      </c>
      <c r="J11" s="20">
        <f>I11-K11</f>
        <v>412848</v>
      </c>
      <c r="K11" s="20">
        <v>1000</v>
      </c>
      <c r="L11" s="20">
        <f>'2B'!F12+'2C'!E12+'2D'!E12</f>
        <v>420420</v>
      </c>
      <c r="M11" s="20">
        <f>'2B'!F12+'2C'!E12</f>
        <v>419420</v>
      </c>
      <c r="N11" s="20">
        <f>L11-M11</f>
        <v>1000</v>
      </c>
      <c r="O11" s="21" t="s">
        <v>22</v>
      </c>
    </row>
    <row r="12" spans="1:259" ht="15.75" x14ac:dyDescent="0.25">
      <c r="A12" s="19" t="s">
        <v>23</v>
      </c>
      <c r="B12" s="20">
        <f>'2B'!B13+'2C'!B13+'2D'!B13</f>
        <v>94973.751999999993</v>
      </c>
      <c r="C12" s="20">
        <f>'2B'!C13+'2C'!B13+'2D'!B13</f>
        <v>102784.75199999999</v>
      </c>
      <c r="D12" s="20">
        <f t="shared" si="0"/>
        <v>102273.052</v>
      </c>
      <c r="E12" s="20">
        <f>'2D'!B13</f>
        <v>511.7</v>
      </c>
      <c r="F12" s="20">
        <f>'2B'!D13+'2C'!C13+'2D'!C13</f>
        <v>105085.7</v>
      </c>
      <c r="G12" s="20">
        <f t="shared" ref="G12:G21" si="1">F12-H12</f>
        <v>104574</v>
      </c>
      <c r="H12" s="20">
        <f>'2D'!C13</f>
        <v>511.7</v>
      </c>
      <c r="I12" s="20">
        <f>'2B'!E13+'2C'!D13+'2D'!D13</f>
        <v>109715</v>
      </c>
      <c r="J12" s="20">
        <f t="shared" ref="J12:J22" si="2">I12-K12</f>
        <v>109203</v>
      </c>
      <c r="K12" s="20">
        <v>512</v>
      </c>
      <c r="L12" s="20">
        <f>'2B'!F13+'2C'!E13+'2D'!E13</f>
        <v>106310</v>
      </c>
      <c r="M12" s="20">
        <f>'2B'!F13+'2C'!E13</f>
        <v>105798</v>
      </c>
      <c r="N12" s="20">
        <f t="shared" ref="N12:N19" si="3">L12-M12</f>
        <v>512</v>
      </c>
      <c r="O12" s="21" t="s">
        <v>24</v>
      </c>
    </row>
    <row r="13" spans="1:259" ht="15.75" x14ac:dyDescent="0.25">
      <c r="A13" s="19" t="s">
        <v>25</v>
      </c>
      <c r="B13" s="20">
        <f>'2B'!B14+'2C'!B14+'2D'!B14</f>
        <v>231544.3</v>
      </c>
      <c r="C13" s="20">
        <f>'2B'!C14+'2C'!B14+'2D'!B14</f>
        <v>220124.3</v>
      </c>
      <c r="D13" s="20">
        <f t="shared" si="0"/>
        <v>207303</v>
      </c>
      <c r="E13" s="20">
        <f>'2D'!B14</f>
        <v>12821.3</v>
      </c>
      <c r="F13" s="20">
        <f>'2B'!D14+'2C'!C14+'2D'!C14</f>
        <v>226748</v>
      </c>
      <c r="G13" s="20">
        <f t="shared" si="1"/>
        <v>208567</v>
      </c>
      <c r="H13" s="20">
        <f>'2D'!C14</f>
        <v>18181</v>
      </c>
      <c r="I13" s="20">
        <f>'2B'!E14+'2C'!D14+'2D'!D14</f>
        <v>225629</v>
      </c>
      <c r="J13" s="20">
        <f t="shared" si="2"/>
        <v>208905</v>
      </c>
      <c r="K13" s="20">
        <v>16724</v>
      </c>
      <c r="L13" s="20">
        <f>'2B'!F14+'2C'!E14+'2D'!E14</f>
        <v>229839</v>
      </c>
      <c r="M13" s="20">
        <f>'2B'!F14+'2C'!E14</f>
        <v>208022</v>
      </c>
      <c r="N13" s="20">
        <f t="shared" si="3"/>
        <v>21817</v>
      </c>
      <c r="O13" s="21" t="s">
        <v>26</v>
      </c>
    </row>
    <row r="14" spans="1:259" ht="15.75" x14ac:dyDescent="0.25">
      <c r="A14" s="19" t="s">
        <v>191</v>
      </c>
      <c r="B14" s="20"/>
      <c r="C14" s="20">
        <f>'2B'!C15+'2C'!B15</f>
        <v>1120</v>
      </c>
      <c r="D14" s="20">
        <f>'2B'!D15+'2C'!C15</f>
        <v>1120</v>
      </c>
      <c r="E14" s="20">
        <v>0</v>
      </c>
      <c r="F14" s="20">
        <f>'2B'!D15+'2C'!C15</f>
        <v>1120</v>
      </c>
      <c r="G14" s="20">
        <v>0</v>
      </c>
      <c r="H14" s="20">
        <v>0</v>
      </c>
      <c r="I14" s="20">
        <v>1120</v>
      </c>
      <c r="J14" s="20">
        <f t="shared" si="2"/>
        <v>1120</v>
      </c>
      <c r="K14" s="20">
        <v>0</v>
      </c>
      <c r="L14" s="20">
        <f>'2B'!F15+'2C'!E15</f>
        <v>1270</v>
      </c>
      <c r="M14" s="20">
        <f>'2B'!F15+'2C'!E15</f>
        <v>1270</v>
      </c>
      <c r="N14" s="20">
        <f t="shared" si="3"/>
        <v>0</v>
      </c>
      <c r="O14" s="21" t="s">
        <v>28</v>
      </c>
    </row>
    <row r="15" spans="1:259" ht="15.75" x14ac:dyDescent="0.25">
      <c r="A15" s="19" t="s">
        <v>27</v>
      </c>
      <c r="B15" s="20">
        <f>'2B'!B15+'2C'!B15+'2D'!B15</f>
        <v>7117</v>
      </c>
      <c r="C15" s="20">
        <f>'2D'!B15</f>
        <v>6127</v>
      </c>
      <c r="D15" s="20">
        <f t="shared" si="0"/>
        <v>0</v>
      </c>
      <c r="E15" s="20">
        <f>'2D'!B15</f>
        <v>6127</v>
      </c>
      <c r="F15" s="20">
        <f>'2D'!C15</f>
        <v>8247</v>
      </c>
      <c r="G15" s="20">
        <f t="shared" si="1"/>
        <v>0</v>
      </c>
      <c r="H15" s="20">
        <f>'2D'!C15</f>
        <v>8247</v>
      </c>
      <c r="I15" s="20">
        <v>7584</v>
      </c>
      <c r="J15" s="20">
        <f t="shared" si="2"/>
        <v>0</v>
      </c>
      <c r="K15" s="20">
        <v>7584</v>
      </c>
      <c r="L15" s="20">
        <f>'2B'!F16+'2C'!E16+'2D'!E15-2632</f>
        <v>7584</v>
      </c>
      <c r="M15" s="20">
        <v>0</v>
      </c>
      <c r="N15" s="20">
        <f t="shared" si="3"/>
        <v>7584</v>
      </c>
      <c r="O15" s="21" t="s">
        <v>209</v>
      </c>
    </row>
    <row r="16" spans="1:259" customFormat="1" ht="15.75" x14ac:dyDescent="0.25">
      <c r="A16" s="19" t="s">
        <v>193</v>
      </c>
      <c r="B16" s="20"/>
      <c r="C16" s="20">
        <v>0</v>
      </c>
      <c r="D16" s="20"/>
      <c r="E16" s="20"/>
      <c r="F16" s="20">
        <f>'2B'!D16+'2C'!C16</f>
        <v>512</v>
      </c>
      <c r="G16" s="20">
        <f t="shared" si="1"/>
        <v>512</v>
      </c>
      <c r="H16" s="20">
        <v>0</v>
      </c>
      <c r="I16" s="20">
        <v>2632</v>
      </c>
      <c r="J16" s="20">
        <v>2632</v>
      </c>
      <c r="K16" s="20">
        <v>0</v>
      </c>
      <c r="L16" s="20">
        <v>2632</v>
      </c>
      <c r="M16" s="20">
        <v>2632</v>
      </c>
      <c r="N16" s="20">
        <f t="shared" si="3"/>
        <v>0</v>
      </c>
      <c r="O16" s="21" t="s">
        <v>171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</row>
    <row r="17" spans="1:259" s="134" customFormat="1" ht="15.75" x14ac:dyDescent="0.25">
      <c r="A17" s="19" t="s">
        <v>216</v>
      </c>
      <c r="B17" s="20"/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f>'2D'!E16</f>
        <v>1827</v>
      </c>
      <c r="M17" s="20">
        <v>0</v>
      </c>
      <c r="N17" s="20">
        <f t="shared" si="3"/>
        <v>1827</v>
      </c>
      <c r="O17" s="2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</row>
    <row r="18" spans="1:259" ht="30" x14ac:dyDescent="0.25">
      <c r="A18" s="19" t="s">
        <v>29</v>
      </c>
      <c r="B18" s="20">
        <v>0</v>
      </c>
      <c r="C18" s="20">
        <f>'2B'!C17+'2C'!B17+'2D'!B18</f>
        <v>2435</v>
      </c>
      <c r="D18" s="20">
        <f t="shared" si="0"/>
        <v>2435</v>
      </c>
      <c r="E18" s="20">
        <v>0</v>
      </c>
      <c r="F18" s="20">
        <f>'2B'!D17+'2C'!C17+'2D'!C18</f>
        <v>7893</v>
      </c>
      <c r="G18" s="20">
        <f t="shared" si="1"/>
        <v>7893</v>
      </c>
      <c r="H18" s="20">
        <v>0</v>
      </c>
      <c r="I18" s="20">
        <v>8549</v>
      </c>
      <c r="J18" s="20">
        <f t="shared" si="2"/>
        <v>8549</v>
      </c>
      <c r="K18" s="20">
        <v>0</v>
      </c>
      <c r="L18" s="20">
        <f>'2B'!F17+'2C'!E17+'2D'!E18</f>
        <v>13106</v>
      </c>
      <c r="M18" s="20">
        <f>'2B'!F17+'2C'!E17</f>
        <v>13106</v>
      </c>
      <c r="N18" s="20">
        <f t="shared" si="3"/>
        <v>0</v>
      </c>
      <c r="O18" s="22" t="s">
        <v>30</v>
      </c>
    </row>
    <row r="19" spans="1:259" ht="15.75" x14ac:dyDescent="0.25">
      <c r="A19" s="19" t="s">
        <v>31</v>
      </c>
      <c r="B19" s="23">
        <v>0</v>
      </c>
      <c r="C19" s="23">
        <v>0</v>
      </c>
      <c r="D19" s="20">
        <f t="shared" si="0"/>
        <v>0</v>
      </c>
      <c r="E19" s="20">
        <v>0</v>
      </c>
      <c r="F19" s="20">
        <v>0</v>
      </c>
      <c r="G19" s="20">
        <f t="shared" si="1"/>
        <v>0</v>
      </c>
      <c r="H19" s="20">
        <v>0</v>
      </c>
      <c r="I19" s="20">
        <v>0</v>
      </c>
      <c r="J19" s="20">
        <f t="shared" si="2"/>
        <v>0</v>
      </c>
      <c r="K19" s="20">
        <v>0</v>
      </c>
      <c r="L19" s="20">
        <v>0</v>
      </c>
      <c r="M19" s="20">
        <v>0</v>
      </c>
      <c r="N19" s="20">
        <f t="shared" si="3"/>
        <v>0</v>
      </c>
      <c r="O19" s="21" t="s">
        <v>32</v>
      </c>
    </row>
    <row r="20" spans="1:259" ht="15.75" x14ac:dyDescent="0.25">
      <c r="A20" s="24" t="s">
        <v>33</v>
      </c>
      <c r="B20" s="26">
        <f>SUM(B11:B19)</f>
        <v>697314.36599999992</v>
      </c>
      <c r="C20" s="26">
        <f>SUM(C11:C19)</f>
        <v>717727.36599999992</v>
      </c>
      <c r="D20" s="129">
        <f t="shared" si="0"/>
        <v>697267.36599999992</v>
      </c>
      <c r="E20" s="26">
        <f>SUM(E11:E19)</f>
        <v>20460</v>
      </c>
      <c r="F20" s="112">
        <f>SUM(F11:F19)</f>
        <v>746207.7</v>
      </c>
      <c r="G20" s="112">
        <f>SUM(G11:G19)</f>
        <v>717148</v>
      </c>
      <c r="H20" s="112">
        <f>SUM(H11:H19)</f>
        <v>27939.7</v>
      </c>
      <c r="I20" s="128">
        <f>SUM(I11:I19)</f>
        <v>769077</v>
      </c>
      <c r="J20" s="128">
        <f t="shared" si="2"/>
        <v>743257</v>
      </c>
      <c r="K20" s="112">
        <f>SUM(K11:K19)</f>
        <v>25820</v>
      </c>
      <c r="L20" s="112">
        <f>SUM(L11:L19)</f>
        <v>782988</v>
      </c>
      <c r="M20" s="112">
        <f t="shared" ref="M20:N20" si="4">SUM(M11:M19)</f>
        <v>750248</v>
      </c>
      <c r="N20" s="112">
        <f t="shared" si="4"/>
        <v>32740</v>
      </c>
    </row>
    <row r="21" spans="1:259" ht="15.75" x14ac:dyDescent="0.25">
      <c r="A21" s="19" t="s">
        <v>34</v>
      </c>
      <c r="B21" s="28">
        <f>'2D'!B21</f>
        <v>18060</v>
      </c>
      <c r="C21" s="28">
        <f>'2D'!B21</f>
        <v>18060</v>
      </c>
      <c r="D21" s="27">
        <f t="shared" si="0"/>
        <v>17013</v>
      </c>
      <c r="E21" s="28">
        <v>1047</v>
      </c>
      <c r="F21" s="117">
        <f>'2D'!C21</f>
        <v>23631</v>
      </c>
      <c r="G21" s="20">
        <f t="shared" si="1"/>
        <v>22584</v>
      </c>
      <c r="H21" s="117">
        <v>1047</v>
      </c>
      <c r="I21" s="27">
        <v>20524</v>
      </c>
      <c r="J21" s="20">
        <f t="shared" si="2"/>
        <v>0</v>
      </c>
      <c r="K21" s="117">
        <v>20524</v>
      </c>
      <c r="L21" s="117">
        <f>'2D'!E21</f>
        <v>16602</v>
      </c>
      <c r="M21" s="117">
        <v>16602</v>
      </c>
      <c r="N21" s="117">
        <v>0</v>
      </c>
      <c r="O21" s="83" t="s">
        <v>130</v>
      </c>
    </row>
    <row r="22" spans="1:259" ht="15.75" x14ac:dyDescent="0.25">
      <c r="A22" s="30" t="s">
        <v>37</v>
      </c>
      <c r="B22" s="27">
        <f>B20+B21</f>
        <v>715374.36599999992</v>
      </c>
      <c r="C22" s="27">
        <f>C20+C21</f>
        <v>735787.36599999992</v>
      </c>
      <c r="D22" s="27">
        <f>SUM(C22-E22)</f>
        <v>714280.36599999992</v>
      </c>
      <c r="E22" s="28">
        <f>SUM(E20+E21)</f>
        <v>21507</v>
      </c>
      <c r="F22" s="118">
        <f>SUM(F20:F21)</f>
        <v>769838.7</v>
      </c>
      <c r="G22" s="118">
        <f>SUM(G20:G21)</f>
        <v>739732</v>
      </c>
      <c r="H22" s="118">
        <f>SUM(H20:H21)</f>
        <v>28986.7</v>
      </c>
      <c r="I22" s="27">
        <f>SUM(I20:I21)</f>
        <v>789601</v>
      </c>
      <c r="J22" s="27">
        <f t="shared" si="2"/>
        <v>743257</v>
      </c>
      <c r="K22" s="118">
        <f>SUM(K20:K21)</f>
        <v>46344</v>
      </c>
      <c r="L22" s="118">
        <f>L20+L21</f>
        <v>799590</v>
      </c>
      <c r="M22" s="118">
        <f t="shared" ref="M22:N22" si="5">M20+M21</f>
        <v>766850</v>
      </c>
      <c r="N22" s="118">
        <f t="shared" si="5"/>
        <v>32740</v>
      </c>
      <c r="O22" s="80"/>
    </row>
    <row r="23" spans="1:259" ht="15.75" x14ac:dyDescent="0.25">
      <c r="A23" s="31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</row>
    <row r="24" spans="1:259" ht="15.75" x14ac:dyDescent="0.25">
      <c r="A24" s="19" t="s">
        <v>38</v>
      </c>
      <c r="B24" s="20">
        <f>'2B'!B23+'2C'!B21+'2D'!B24</f>
        <v>203341</v>
      </c>
      <c r="C24" s="20">
        <f>'2B'!C23+'2C'!B21+'2D'!B24</f>
        <v>200170</v>
      </c>
      <c r="D24" s="20">
        <f t="shared" ref="D24:D31" si="6">C24-E24</f>
        <v>200170</v>
      </c>
      <c r="E24" s="20">
        <f>'2D'!B24</f>
        <v>0</v>
      </c>
      <c r="F24" s="20">
        <f>'2B'!D23+'2C'!C21+'2D'!C24</f>
        <v>210335</v>
      </c>
      <c r="G24" s="20">
        <f>F24-H24</f>
        <v>199755</v>
      </c>
      <c r="H24" s="20">
        <f>'2D'!C24</f>
        <v>10580</v>
      </c>
      <c r="I24" s="20">
        <f>'2B'!E23+'2C'!D21+'2D'!D24</f>
        <v>210335</v>
      </c>
      <c r="J24" s="20">
        <f>I24-K24</f>
        <v>199755</v>
      </c>
      <c r="K24" s="20">
        <v>10580</v>
      </c>
      <c r="L24" s="20">
        <f>'2B'!F23+'2C'!E21+'2D'!E24</f>
        <v>211432</v>
      </c>
      <c r="M24" s="20">
        <f>'2B'!F23+'2C'!E21</f>
        <v>199755</v>
      </c>
      <c r="N24" s="20">
        <f>L24-M24</f>
        <v>11677</v>
      </c>
      <c r="O24" s="21" t="s">
        <v>39</v>
      </c>
    </row>
    <row r="25" spans="1:259" ht="15.75" x14ac:dyDescent="0.25">
      <c r="A25" s="19" t="s">
        <v>40</v>
      </c>
      <c r="B25" s="20">
        <v>0</v>
      </c>
      <c r="C25" s="20">
        <f>'2B'!C24+'2C'!B22+'2D'!B25</f>
        <v>0</v>
      </c>
      <c r="D25" s="20">
        <f t="shared" si="6"/>
        <v>0</v>
      </c>
      <c r="E25" s="20">
        <v>0</v>
      </c>
      <c r="F25" s="20">
        <f>'2D'!C25</f>
        <v>0</v>
      </c>
      <c r="G25" s="20">
        <f t="shared" ref="G25:G33" si="7">F25-H25</f>
        <v>0</v>
      </c>
      <c r="H25" s="20">
        <f>'2C'!C22</f>
        <v>0</v>
      </c>
      <c r="I25" s="20">
        <f>'2B'!E24+'2C'!D22+'2D'!D25</f>
        <v>0</v>
      </c>
      <c r="J25" s="20">
        <f t="shared" ref="J25:J33" si="8">I25-K25</f>
        <v>0</v>
      </c>
      <c r="K25" s="20">
        <v>0</v>
      </c>
      <c r="L25" s="20">
        <v>0</v>
      </c>
      <c r="M25" s="20">
        <v>0</v>
      </c>
      <c r="N25" s="20">
        <f t="shared" ref="N25:N30" si="9">L25-M25</f>
        <v>0</v>
      </c>
      <c r="O25" s="21"/>
    </row>
    <row r="26" spans="1:259" ht="45" x14ac:dyDescent="0.25">
      <c r="A26" s="19" t="s">
        <v>41</v>
      </c>
      <c r="B26" s="20">
        <v>0</v>
      </c>
      <c r="C26" s="20">
        <f>'2B'!C25+'2C'!B23+'2D'!B26</f>
        <v>0</v>
      </c>
      <c r="D26" s="20">
        <f t="shared" si="6"/>
        <v>0</v>
      </c>
      <c r="E26" s="20">
        <f>'2D'!C26</f>
        <v>0</v>
      </c>
      <c r="F26" s="20">
        <f>'2B'!D24+'2C'!C22+'2D'!C26</f>
        <v>0</v>
      </c>
      <c r="G26" s="20">
        <f t="shared" si="7"/>
        <v>0</v>
      </c>
      <c r="H26" s="20">
        <f>'2C'!C23</f>
        <v>0</v>
      </c>
      <c r="I26" s="20">
        <f>'2B'!E25+'2C'!D23+'2D'!D26</f>
        <v>0</v>
      </c>
      <c r="J26" s="20">
        <f t="shared" si="8"/>
        <v>0</v>
      </c>
      <c r="K26" s="20">
        <v>0</v>
      </c>
      <c r="L26" s="20">
        <v>0</v>
      </c>
      <c r="M26" s="20">
        <v>0</v>
      </c>
      <c r="N26" s="20">
        <f t="shared" si="9"/>
        <v>0</v>
      </c>
      <c r="O26" s="22" t="s">
        <v>42</v>
      </c>
    </row>
    <row r="27" spans="1:259" ht="15.75" x14ac:dyDescent="0.25">
      <c r="A27" s="19" t="s">
        <v>43</v>
      </c>
      <c r="B27" s="20">
        <v>0</v>
      </c>
      <c r="C27" s="20">
        <v>0</v>
      </c>
      <c r="D27" s="20">
        <f t="shared" si="6"/>
        <v>0</v>
      </c>
      <c r="E27" s="20">
        <v>0</v>
      </c>
      <c r="F27" s="20">
        <v>0</v>
      </c>
      <c r="G27" s="20">
        <f t="shared" si="7"/>
        <v>0</v>
      </c>
      <c r="H27" s="20">
        <v>0</v>
      </c>
      <c r="I27" s="20">
        <v>0</v>
      </c>
      <c r="J27" s="20">
        <f t="shared" si="8"/>
        <v>0</v>
      </c>
      <c r="K27" s="20">
        <v>0</v>
      </c>
      <c r="L27" s="20">
        <v>0</v>
      </c>
      <c r="M27" s="20">
        <v>0</v>
      </c>
      <c r="N27" s="20">
        <f t="shared" si="9"/>
        <v>0</v>
      </c>
      <c r="O27" s="21"/>
    </row>
    <row r="28" spans="1:259" ht="15.75" x14ac:dyDescent="0.25">
      <c r="A28" s="19" t="s">
        <v>44</v>
      </c>
      <c r="B28" s="20">
        <f>'2B'!B26+'2C'!B24+'2D'!B28</f>
        <v>536637.36599999992</v>
      </c>
      <c r="C28" s="20">
        <f>'2B'!C26+'2C'!B24+'2D'!B28</f>
        <v>533182.36599999992</v>
      </c>
      <c r="D28" s="20">
        <f t="shared" si="6"/>
        <v>511675.36599999992</v>
      </c>
      <c r="E28" s="20">
        <f>18407+3100</f>
        <v>21507</v>
      </c>
      <c r="F28" s="20">
        <f>'2B'!D26+'2C'!C24+'2D'!C28</f>
        <v>554994</v>
      </c>
      <c r="G28" s="20">
        <f t="shared" si="7"/>
        <v>536587</v>
      </c>
      <c r="H28" s="20">
        <f>17360+1047</f>
        <v>18407</v>
      </c>
      <c r="I28" s="20">
        <f>'2B'!E26+'2C'!D24+'2D'!D28</f>
        <v>574756</v>
      </c>
      <c r="J28" s="20">
        <f>I28-K28</f>
        <v>540130</v>
      </c>
      <c r="K28" s="20">
        <f>536309-501683</f>
        <v>34626</v>
      </c>
      <c r="L28" s="20">
        <f>'2B'!F26+'2C'!E24+'2D'!E28</f>
        <v>583648</v>
      </c>
      <c r="M28" s="20">
        <f>583648-2784-13769</f>
        <v>567095</v>
      </c>
      <c r="N28" s="20">
        <f t="shared" si="9"/>
        <v>16553</v>
      </c>
      <c r="O28" s="21" t="s">
        <v>45</v>
      </c>
    </row>
    <row r="29" spans="1:259" ht="15.75" x14ac:dyDescent="0.25">
      <c r="A29" s="19" t="s">
        <v>46</v>
      </c>
      <c r="B29" s="20">
        <f>'2D'!B29</f>
        <v>321246.49599999998</v>
      </c>
      <c r="C29" s="20">
        <f>'2B'!C27+'2C'!B25+'2D'!B29</f>
        <v>331337.49599999998</v>
      </c>
      <c r="D29" s="20">
        <f t="shared" si="6"/>
        <v>331337.49599999998</v>
      </c>
      <c r="E29" s="20">
        <v>0</v>
      </c>
      <c r="F29" s="20">
        <f>'2B'!D27+'2C'!C25+'2D'!C29</f>
        <v>350673</v>
      </c>
      <c r="G29" s="20">
        <f t="shared" si="7"/>
        <v>350673</v>
      </c>
      <c r="H29" s="20">
        <v>0</v>
      </c>
      <c r="I29" s="131">
        <v>359220</v>
      </c>
      <c r="J29" s="20">
        <v>359220</v>
      </c>
      <c r="K29" s="131">
        <v>0</v>
      </c>
      <c r="L29" s="131">
        <f>'2D'!E29</f>
        <v>371122</v>
      </c>
      <c r="M29" s="131">
        <v>371122</v>
      </c>
      <c r="N29" s="20">
        <f t="shared" si="9"/>
        <v>0</v>
      </c>
      <c r="O29" s="21"/>
    </row>
    <row r="30" spans="1:259" ht="15.75" x14ac:dyDescent="0.25">
      <c r="A30" s="19" t="s">
        <v>47</v>
      </c>
      <c r="B30" s="23">
        <v>0</v>
      </c>
      <c r="C30" s="20">
        <f>'2B'!C29+'2C'!B27+'2D'!B30</f>
        <v>0</v>
      </c>
      <c r="D30" s="20">
        <f t="shared" si="6"/>
        <v>0</v>
      </c>
      <c r="E30" s="23">
        <v>0</v>
      </c>
      <c r="F30" s="23">
        <v>0</v>
      </c>
      <c r="G30" s="20">
        <f t="shared" si="7"/>
        <v>0</v>
      </c>
      <c r="H30" s="20">
        <f>'2C'!C27</f>
        <v>0</v>
      </c>
      <c r="I30" s="20">
        <f>'2B'!E29+'2C'!D27+'2D'!D30</f>
        <v>0</v>
      </c>
      <c r="J30" s="20">
        <f t="shared" si="8"/>
        <v>0</v>
      </c>
      <c r="K30" s="20">
        <v>0</v>
      </c>
      <c r="L30" s="20">
        <v>0</v>
      </c>
      <c r="M30" s="20">
        <v>0</v>
      </c>
      <c r="N30" s="20">
        <f t="shared" si="9"/>
        <v>0</v>
      </c>
      <c r="O30" s="21" t="s">
        <v>48</v>
      </c>
    </row>
    <row r="31" spans="1:259" ht="15.75" x14ac:dyDescent="0.25">
      <c r="A31" s="24" t="s">
        <v>49</v>
      </c>
      <c r="B31" s="26">
        <f>B28+B24</f>
        <v>739978.36599999992</v>
      </c>
      <c r="C31" s="119">
        <f>C28+C24</f>
        <v>733352.36599999992</v>
      </c>
      <c r="D31" s="32">
        <f t="shared" si="6"/>
        <v>711845.36599999992</v>
      </c>
      <c r="E31" s="119">
        <f>E28+E24</f>
        <v>21507</v>
      </c>
      <c r="F31" s="112">
        <f>SUM(F30+F28+F27+F26+F25+F24)</f>
        <v>765329</v>
      </c>
      <c r="G31" s="128">
        <f t="shared" si="7"/>
        <v>736342</v>
      </c>
      <c r="H31" s="112">
        <f>SUM(H24+H25+H26+H28)</f>
        <v>28987</v>
      </c>
      <c r="I31" s="128">
        <f>I24+I25+I26+I28</f>
        <v>785091</v>
      </c>
      <c r="J31" s="128">
        <f t="shared" si="8"/>
        <v>739885</v>
      </c>
      <c r="K31" s="128">
        <f>K24+K25+K26+K28</f>
        <v>45206</v>
      </c>
      <c r="L31" s="128">
        <f>L24+L25+L26+L28</f>
        <v>795080</v>
      </c>
      <c r="M31" s="128">
        <f>M24+M25+M26+M28</f>
        <v>766850</v>
      </c>
      <c r="N31" s="128">
        <f>N24+N25+N26+N28</f>
        <v>28230</v>
      </c>
      <c r="O31" s="21"/>
    </row>
    <row r="32" spans="1:259" ht="15.75" x14ac:dyDescent="0.25">
      <c r="A32" s="19" t="s">
        <v>172</v>
      </c>
      <c r="B32" s="23">
        <v>0</v>
      </c>
      <c r="C32" s="114">
        <f>'2B'!C31+'2C'!B29+'2D'!B33</f>
        <v>2435</v>
      </c>
      <c r="D32" s="114"/>
      <c r="E32" s="114"/>
      <c r="F32" s="114">
        <f>'2B'!D31+'2C'!C29+'2D'!C33</f>
        <v>4510</v>
      </c>
      <c r="G32" s="20">
        <f t="shared" si="7"/>
        <v>4510</v>
      </c>
      <c r="H32" s="114">
        <v>0</v>
      </c>
      <c r="I32" s="20">
        <f>'2B'!E31+'2C'!D29+'2D'!D33</f>
        <v>4510</v>
      </c>
      <c r="J32" s="20">
        <f>I32-K32</f>
        <v>1252</v>
      </c>
      <c r="K32" s="20">
        <v>3258</v>
      </c>
      <c r="L32" s="20">
        <f>'2B'!F31+'2C'!E29+'2D'!E33</f>
        <v>4510</v>
      </c>
      <c r="M32" s="20">
        <v>0</v>
      </c>
      <c r="N32" s="20">
        <f>L32-M32</f>
        <v>4510</v>
      </c>
      <c r="O32" s="21" t="s">
        <v>197</v>
      </c>
    </row>
    <row r="33" spans="1:15" ht="15.75" x14ac:dyDescent="0.25">
      <c r="A33" s="33" t="s">
        <v>51</v>
      </c>
      <c r="B33" s="28">
        <f>B31+B32</f>
        <v>739978.36599999992</v>
      </c>
      <c r="C33" s="118">
        <f>C31+C32</f>
        <v>735787.36599999992</v>
      </c>
      <c r="D33" s="118">
        <f>C33-E33</f>
        <v>714280.36599999992</v>
      </c>
      <c r="E33" s="118">
        <f>E31+E32</f>
        <v>21507</v>
      </c>
      <c r="F33" s="118">
        <f>SUM(F31:F32)</f>
        <v>769839</v>
      </c>
      <c r="G33" s="27">
        <f t="shared" si="7"/>
        <v>740852</v>
      </c>
      <c r="H33" s="118">
        <f>SUM(H31:H32)</f>
        <v>28987</v>
      </c>
      <c r="I33" s="27">
        <f>SUM(I31:I32)</f>
        <v>789601</v>
      </c>
      <c r="J33" s="27">
        <f t="shared" si="8"/>
        <v>741137</v>
      </c>
      <c r="K33" s="27">
        <f>SUM(K31:K32)</f>
        <v>48464</v>
      </c>
      <c r="L33" s="27">
        <f>SUM(L31:L32)</f>
        <v>799590</v>
      </c>
      <c r="M33" s="27">
        <f>M31+M32</f>
        <v>766850</v>
      </c>
      <c r="N33" s="27">
        <f>N31+N32</f>
        <v>32740</v>
      </c>
      <c r="O33" s="21"/>
    </row>
    <row r="34" spans="1:15" ht="15.75" x14ac:dyDescent="0.25">
      <c r="A34" s="34"/>
      <c r="B34" s="35"/>
      <c r="C34" s="35"/>
      <c r="D34" s="35"/>
      <c r="E34" s="35"/>
      <c r="F34" s="35"/>
      <c r="G34" s="35"/>
      <c r="H34" s="35"/>
    </row>
    <row r="36" spans="1:15" x14ac:dyDescent="0.25">
      <c r="A36" t="s">
        <v>211</v>
      </c>
    </row>
    <row r="37" spans="1:15" x14ac:dyDescent="0.25">
      <c r="B37" s="1" t="s">
        <v>125</v>
      </c>
    </row>
    <row r="38" spans="1:15" x14ac:dyDescent="0.25">
      <c r="A38" s="145"/>
      <c r="B38" s="145"/>
      <c r="C38" s="145"/>
      <c r="D38"/>
      <c r="E38"/>
      <c r="F38"/>
      <c r="G38"/>
      <c r="H38"/>
    </row>
    <row r="39" spans="1:15" x14ac:dyDescent="0.25">
      <c r="B39" s="1" t="s">
        <v>124</v>
      </c>
    </row>
    <row r="40" spans="1:15" x14ac:dyDescent="0.25">
      <c r="B40" s="1" t="s">
        <v>120</v>
      </c>
    </row>
    <row r="41" spans="1:15" x14ac:dyDescent="0.25">
      <c r="B41" s="1" t="s">
        <v>121</v>
      </c>
    </row>
    <row r="42" spans="1:15" x14ac:dyDescent="0.25">
      <c r="B42" s="1" t="s">
        <v>126</v>
      </c>
    </row>
    <row r="43" spans="1:15" x14ac:dyDescent="0.25">
      <c r="B43" s="1" t="s">
        <v>120</v>
      </c>
    </row>
  </sheetData>
  <mergeCells count="7">
    <mergeCell ref="A38:C38"/>
    <mergeCell ref="B1:C1"/>
    <mergeCell ref="A3:C3"/>
    <mergeCell ref="A4:C4"/>
    <mergeCell ref="A5:C5"/>
    <mergeCell ref="A6:C6"/>
    <mergeCell ref="A8:C8"/>
  </mergeCells>
  <phoneticPr fontId="20" type="noConversion"/>
  <pageMargins left="0.70826771653543308" right="0.70826771653543308" top="1.1417322834645671" bottom="1.1417322834645671" header="0.74803149606299213" footer="0.74803149606299213"/>
  <pageSetup paperSize="9" scale="6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56"/>
  <sheetViews>
    <sheetView topLeftCell="A13" workbookViewId="0">
      <selection activeCell="G38" sqref="G38"/>
    </sheetView>
  </sheetViews>
  <sheetFormatPr defaultColWidth="8.75" defaultRowHeight="15" x14ac:dyDescent="0.25"/>
  <cols>
    <col min="1" max="1" width="48" style="1" customWidth="1"/>
    <col min="2" max="2" width="14.875" style="1" hidden="1" customWidth="1"/>
    <col min="3" max="4" width="16.875" style="1" customWidth="1"/>
    <col min="5" max="5" width="14.75" style="1" bestFit="1" customWidth="1"/>
    <col min="6" max="6" width="14.75" style="1" customWidth="1"/>
    <col min="7" max="7" width="15.125" style="1" customWidth="1"/>
    <col min="8" max="8" width="11.625" style="1" customWidth="1"/>
    <col min="9" max="16384" width="8.75" style="1"/>
  </cols>
  <sheetData>
    <row r="1" spans="1:257" x14ac:dyDescent="0.25">
      <c r="B1" s="146" t="s">
        <v>52</v>
      </c>
      <c r="C1" s="146"/>
      <c r="D1" s="3"/>
    </row>
    <row r="2" spans="1:257" x14ac:dyDescent="0.25">
      <c r="B2" s="2"/>
    </row>
    <row r="3" spans="1:257" x14ac:dyDescent="0.25">
      <c r="A3" s="143" t="s">
        <v>1</v>
      </c>
      <c r="B3" s="143"/>
      <c r="C3" s="143"/>
      <c r="D3" s="3"/>
    </row>
    <row r="4" spans="1:257" x14ac:dyDescent="0.25">
      <c r="A4" s="143" t="s">
        <v>194</v>
      </c>
      <c r="B4" s="143"/>
      <c r="C4" s="143"/>
      <c r="D4" s="3"/>
    </row>
    <row r="5" spans="1:257" ht="15.75" x14ac:dyDescent="0.25">
      <c r="A5" s="147" t="s">
        <v>13</v>
      </c>
      <c r="B5" s="147"/>
      <c r="C5" s="147"/>
      <c r="D5" s="12"/>
    </row>
    <row r="6" spans="1:257" ht="15.75" x14ac:dyDescent="0.25">
      <c r="A6" s="147" t="s">
        <v>14</v>
      </c>
      <c r="B6" s="147"/>
      <c r="C6" s="147"/>
      <c r="D6" s="12"/>
    </row>
    <row r="8" spans="1:257" ht="15.75" x14ac:dyDescent="0.25">
      <c r="B8" s="12"/>
      <c r="C8" s="12" t="s">
        <v>53</v>
      </c>
      <c r="D8" s="12" t="s">
        <v>53</v>
      </c>
      <c r="E8" s="12" t="s">
        <v>53</v>
      </c>
      <c r="F8" s="135" t="s">
        <v>53</v>
      </c>
    </row>
    <row r="9" spans="1:257" x14ac:dyDescent="0.25">
      <c r="A9" s="36" t="s">
        <v>54</v>
      </c>
      <c r="B9" s="36"/>
      <c r="C9" s="37"/>
      <c r="D9" s="37"/>
      <c r="E9" s="126"/>
      <c r="F9" s="126"/>
    </row>
    <row r="10" spans="1:257" ht="15.75" x14ac:dyDescent="0.25">
      <c r="A10" s="14" t="s">
        <v>6</v>
      </c>
      <c r="B10" s="38" t="s">
        <v>18</v>
      </c>
      <c r="C10" s="38" t="s">
        <v>18</v>
      </c>
      <c r="D10" s="38" t="s">
        <v>170</v>
      </c>
      <c r="E10" s="38" t="s">
        <v>170</v>
      </c>
      <c r="F10" s="38" t="s">
        <v>170</v>
      </c>
      <c r="G10" s="15" t="s">
        <v>19</v>
      </c>
    </row>
    <row r="11" spans="1:257" ht="31.5" customHeight="1" x14ac:dyDescent="0.25">
      <c r="A11" s="16"/>
      <c r="B11" s="39" t="s">
        <v>20</v>
      </c>
      <c r="C11" s="39" t="s">
        <v>122</v>
      </c>
      <c r="D11" s="39" t="s">
        <v>195</v>
      </c>
      <c r="E11" s="39" t="s">
        <v>196</v>
      </c>
      <c r="F11" s="39" t="s">
        <v>210</v>
      </c>
      <c r="G11" s="18" t="s">
        <v>123</v>
      </c>
    </row>
    <row r="12" spans="1:257" ht="15.75" x14ac:dyDescent="0.25">
      <c r="A12" s="19" t="s">
        <v>21</v>
      </c>
      <c r="B12" s="23">
        <v>264817</v>
      </c>
      <c r="C12" s="23">
        <f>'[1]KESZI költségvetés'!$D$9</f>
        <v>286274</v>
      </c>
      <c r="D12" s="23">
        <v>293850</v>
      </c>
      <c r="E12" s="132">
        <v>304650</v>
      </c>
      <c r="F12" s="132">
        <v>310168</v>
      </c>
      <c r="G12" s="21" t="s">
        <v>22</v>
      </c>
    </row>
    <row r="13" spans="1:257" ht="15.75" x14ac:dyDescent="0.25">
      <c r="A13" s="19" t="s">
        <v>23</v>
      </c>
      <c r="B13" s="23">
        <v>69967</v>
      </c>
      <c r="C13" s="23">
        <f>'[1]KESZI költségvetés'!$D$10</f>
        <v>77778</v>
      </c>
      <c r="D13" s="23">
        <v>79250</v>
      </c>
      <c r="E13" s="132">
        <v>82139</v>
      </c>
      <c r="F13" s="132">
        <v>78396</v>
      </c>
      <c r="G13" s="21" t="s">
        <v>24</v>
      </c>
    </row>
    <row r="14" spans="1:257" ht="15.75" x14ac:dyDescent="0.25">
      <c r="A14" s="19" t="s">
        <v>25</v>
      </c>
      <c r="B14" s="23">
        <f>SUM(200046)</f>
        <v>200046</v>
      </c>
      <c r="C14" s="23">
        <f>'[1]KESZI költségvetés'!$D$16</f>
        <v>188626</v>
      </c>
      <c r="D14" s="23">
        <v>187866</v>
      </c>
      <c r="E14" s="132">
        <v>188204</v>
      </c>
      <c r="F14" s="132">
        <v>187802</v>
      </c>
      <c r="G14" s="21" t="s">
        <v>26</v>
      </c>
    </row>
    <row r="15" spans="1:257" ht="15.75" x14ac:dyDescent="0.25">
      <c r="A15" s="19" t="s">
        <v>191</v>
      </c>
      <c r="B15" s="23">
        <v>570</v>
      </c>
      <c r="C15" s="23">
        <f>'[1]KESZI költségvetés'!$D$17</f>
        <v>700</v>
      </c>
      <c r="D15" s="23">
        <v>700</v>
      </c>
      <c r="E15" s="23">
        <v>700</v>
      </c>
      <c r="F15" s="23">
        <v>850</v>
      </c>
      <c r="G15" s="21" t="s">
        <v>28</v>
      </c>
    </row>
    <row r="16" spans="1:257" customFormat="1" ht="15.75" x14ac:dyDescent="0.25">
      <c r="A16" s="19" t="s">
        <v>193</v>
      </c>
      <c r="B16" s="23"/>
      <c r="C16" s="23">
        <v>0</v>
      </c>
      <c r="D16" s="23">
        <v>344</v>
      </c>
      <c r="E16" s="23">
        <v>344</v>
      </c>
      <c r="F16" s="23">
        <v>344</v>
      </c>
      <c r="G16" s="21" t="s">
        <v>171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</row>
    <row r="17" spans="1:7" ht="15.75" x14ac:dyDescent="0.25">
      <c r="A17" s="19" t="s">
        <v>29</v>
      </c>
      <c r="B17" s="23">
        <v>0</v>
      </c>
      <c r="C17" s="23">
        <f>'[1]KESZI költségvetés'!$D$18</f>
        <v>2435</v>
      </c>
      <c r="D17" s="23">
        <f>1350+2187</f>
        <v>3537</v>
      </c>
      <c r="E17" s="23">
        <v>4193</v>
      </c>
      <c r="F17" s="23">
        <f>3225+2944</f>
        <v>6169</v>
      </c>
      <c r="G17" s="22" t="s">
        <v>30</v>
      </c>
    </row>
    <row r="18" spans="1:7" ht="15.75" x14ac:dyDescent="0.25">
      <c r="A18" s="19" t="s">
        <v>31</v>
      </c>
      <c r="B18" s="23">
        <v>0</v>
      </c>
      <c r="C18" s="23">
        <v>0</v>
      </c>
      <c r="D18" s="23">
        <v>0</v>
      </c>
      <c r="E18" s="23">
        <v>0</v>
      </c>
      <c r="F18" s="23"/>
      <c r="G18" s="21" t="s">
        <v>32</v>
      </c>
    </row>
    <row r="19" spans="1:7" ht="15.75" x14ac:dyDescent="0.25">
      <c r="A19" s="24" t="s">
        <v>33</v>
      </c>
      <c r="B19" s="25">
        <f>SUM(B12:B18)</f>
        <v>535400</v>
      </c>
      <c r="C19" s="25">
        <f>SUM(C12:C18)</f>
        <v>555813</v>
      </c>
      <c r="D19" s="26">
        <f>SUM(D12:D18)</f>
        <v>565547</v>
      </c>
      <c r="E19" s="26">
        <f>SUM(E12:E18)</f>
        <v>580230</v>
      </c>
      <c r="F19" s="26">
        <f>SUM(F12:F18)</f>
        <v>583729</v>
      </c>
      <c r="G19" s="21"/>
    </row>
    <row r="20" spans="1:7" ht="15.75" hidden="1" x14ac:dyDescent="0.25">
      <c r="A20" s="19" t="s">
        <v>35</v>
      </c>
      <c r="B20" s="20" t="s">
        <v>36</v>
      </c>
      <c r="C20" s="20" t="s">
        <v>36</v>
      </c>
      <c r="D20" s="113"/>
      <c r="E20" s="20"/>
      <c r="F20" s="20"/>
      <c r="G20" s="21"/>
    </row>
    <row r="21" spans="1:7" ht="15.75" x14ac:dyDescent="0.25">
      <c r="A21" s="30" t="s">
        <v>37</v>
      </c>
      <c r="B21" s="27">
        <f>SUM(B19)</f>
        <v>535400</v>
      </c>
      <c r="C21" s="27">
        <f>SUM(C19)</f>
        <v>555813</v>
      </c>
      <c r="D21" s="28">
        <f>SUM(D19)</f>
        <v>565547</v>
      </c>
      <c r="E21" s="28">
        <f>SUM(E19)</f>
        <v>580230</v>
      </c>
      <c r="F21" s="28">
        <f>SUM(F19)</f>
        <v>583729</v>
      </c>
      <c r="G21" s="21"/>
    </row>
    <row r="22" spans="1:7" ht="15.75" x14ac:dyDescent="0.25">
      <c r="A22" s="31"/>
      <c r="B22" s="29"/>
      <c r="C22" s="29"/>
      <c r="D22" s="29"/>
      <c r="E22" s="29"/>
      <c r="F22" s="29"/>
    </row>
    <row r="23" spans="1:7" ht="15.75" x14ac:dyDescent="0.25">
      <c r="A23" s="19" t="s">
        <v>38</v>
      </c>
      <c r="B23" s="23">
        <v>201101</v>
      </c>
      <c r="C23" s="23">
        <f>'[1]KESZI költségvetés'!$D$22</f>
        <v>197930</v>
      </c>
      <c r="D23" s="23">
        <v>197930</v>
      </c>
      <c r="E23" s="23">
        <v>197930</v>
      </c>
      <c r="F23" s="23">
        <v>197930</v>
      </c>
      <c r="G23" s="21" t="s">
        <v>39</v>
      </c>
    </row>
    <row r="24" spans="1:7" ht="30" x14ac:dyDescent="0.25">
      <c r="A24" s="19" t="s">
        <v>41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2" t="s">
        <v>42</v>
      </c>
    </row>
    <row r="25" spans="1:7" ht="15.75" x14ac:dyDescent="0.25">
      <c r="A25" s="19" t="s">
        <v>43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1"/>
    </row>
    <row r="26" spans="1:7" ht="15.75" x14ac:dyDescent="0.25">
      <c r="A26" s="19" t="s">
        <v>44</v>
      </c>
      <c r="B26" s="23">
        <f>SUM(50763-12615)</f>
        <v>38148</v>
      </c>
      <c r="C26" s="23">
        <f>'[1]KESZI költségvetés'!$D$21+'[1]KESZI költségvetés'!$D$23</f>
        <v>34693</v>
      </c>
      <c r="D26" s="23">
        <v>35243</v>
      </c>
      <c r="E26" s="23">
        <v>35783</v>
      </c>
      <c r="F26" s="23">
        <f>36904+400</f>
        <v>37304</v>
      </c>
      <c r="G26" s="21" t="s">
        <v>55</v>
      </c>
    </row>
    <row r="27" spans="1:7" ht="15.75" x14ac:dyDescent="0.25">
      <c r="A27" s="19" t="s">
        <v>46</v>
      </c>
      <c r="B27" s="23">
        <v>0</v>
      </c>
      <c r="C27" s="23">
        <v>10091</v>
      </c>
      <c r="D27" s="23">
        <v>10091</v>
      </c>
      <c r="E27" s="23">
        <v>10091</v>
      </c>
      <c r="F27" s="23">
        <v>10091</v>
      </c>
      <c r="G27" s="21"/>
    </row>
    <row r="28" spans="1:7" ht="15.75" x14ac:dyDescent="0.25">
      <c r="A28" s="19" t="s">
        <v>56</v>
      </c>
      <c r="B28" s="23">
        <f>SUM(283536+12615)</f>
        <v>296151</v>
      </c>
      <c r="C28" s="23">
        <f>'[1]KESZI költségvetés'!$D$25+'[1]KESZI költségvetés'!$D$26+'[1]KESZI költségvetés'!$D$27+'[1]KESZI költségvetés'!$D$28</f>
        <v>320755</v>
      </c>
      <c r="D28" s="23">
        <v>331537</v>
      </c>
      <c r="E28" s="23">
        <v>345680</v>
      </c>
      <c r="F28" s="23">
        <v>347658</v>
      </c>
      <c r="G28" s="21" t="s">
        <v>45</v>
      </c>
    </row>
    <row r="29" spans="1:7" ht="15.75" x14ac:dyDescent="0.25">
      <c r="A29" s="19" t="s">
        <v>47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1" t="s">
        <v>48</v>
      </c>
    </row>
    <row r="30" spans="1:7" ht="15.75" x14ac:dyDescent="0.25">
      <c r="A30" s="24" t="s">
        <v>49</v>
      </c>
      <c r="B30" s="25">
        <f>SUM(B29+B28+B26+B24+B23)</f>
        <v>535400</v>
      </c>
      <c r="C30" s="25">
        <f>SUM(C29+C28+C26+C24+C23)</f>
        <v>553378</v>
      </c>
      <c r="D30" s="119">
        <f>SUM(D29+D28+D26+D24+D23)</f>
        <v>564710</v>
      </c>
      <c r="E30" s="119">
        <f>SUM(E29+E28+E26+E24+E23)</f>
        <v>579393</v>
      </c>
      <c r="F30" s="119">
        <f>SUM(F29+F28+F26+F24+F23)</f>
        <v>582892</v>
      </c>
      <c r="G30" s="21"/>
    </row>
    <row r="31" spans="1:7" ht="15.75" x14ac:dyDescent="0.25">
      <c r="A31" s="19" t="s">
        <v>172</v>
      </c>
      <c r="B31" s="20">
        <v>0</v>
      </c>
      <c r="C31" s="23">
        <f>'[1]KESZI költségvetés'!$D$24</f>
        <v>2435</v>
      </c>
      <c r="D31" s="123">
        <v>837</v>
      </c>
      <c r="E31" s="20">
        <v>837</v>
      </c>
      <c r="F31" s="20">
        <v>837</v>
      </c>
      <c r="G31" s="21" t="s">
        <v>173</v>
      </c>
    </row>
    <row r="32" spans="1:7" ht="15.75" hidden="1" x14ac:dyDescent="0.25">
      <c r="A32" s="19" t="s">
        <v>50</v>
      </c>
      <c r="B32" s="20" t="s">
        <v>36</v>
      </c>
      <c r="C32" s="20" t="s">
        <v>36</v>
      </c>
      <c r="D32" s="113"/>
      <c r="E32" s="20"/>
      <c r="F32" s="20"/>
      <c r="G32" s="21"/>
    </row>
    <row r="33" spans="1:257" ht="15.75" x14ac:dyDescent="0.25">
      <c r="A33" s="33" t="s">
        <v>51</v>
      </c>
      <c r="B33" s="27">
        <f>B30+B31</f>
        <v>535400</v>
      </c>
      <c r="C33" s="27">
        <f>C30+C31</f>
        <v>555813</v>
      </c>
      <c r="D33" s="28">
        <f>D30+D31</f>
        <v>565547</v>
      </c>
      <c r="E33" s="28">
        <f>E30+E31</f>
        <v>580230</v>
      </c>
      <c r="F33" s="28">
        <f>F30+F31</f>
        <v>583729</v>
      </c>
      <c r="G33" s="21"/>
    </row>
    <row r="36" spans="1:257" ht="30" x14ac:dyDescent="0.25">
      <c r="A36" s="87" t="s">
        <v>175</v>
      </c>
      <c r="B36" s="2" t="s">
        <v>57</v>
      </c>
    </row>
    <row r="37" spans="1:257" x14ac:dyDescent="0.25">
      <c r="B37" s="2" t="s">
        <v>127</v>
      </c>
      <c r="C37" s="2" t="s">
        <v>182</v>
      </c>
      <c r="D37" s="2" t="s">
        <v>201</v>
      </c>
      <c r="E37" s="2" t="s">
        <v>202</v>
      </c>
      <c r="F37" s="2" t="s">
        <v>212</v>
      </c>
    </row>
    <row r="38" spans="1:257" x14ac:dyDescent="0.25">
      <c r="A38" s="41" t="s">
        <v>58</v>
      </c>
      <c r="B38" s="79">
        <v>27403200</v>
      </c>
      <c r="C38" s="82">
        <f>[2]Munka1!$E$18</f>
        <v>25941696</v>
      </c>
      <c r="D38" s="82">
        <f>[2]Munka1!$E$18</f>
        <v>25941696</v>
      </c>
      <c r="E38" s="81">
        <v>25698112</v>
      </c>
      <c r="F38" s="81">
        <v>25515424</v>
      </c>
      <c r="G38" s="116">
        <f>SUM(F38:F45,F49+F52)</f>
        <v>265259157</v>
      </c>
    </row>
    <row r="39" spans="1:257" x14ac:dyDescent="0.25">
      <c r="A39" s="41" t="s">
        <v>59</v>
      </c>
      <c r="B39" s="79">
        <v>34872500</v>
      </c>
      <c r="C39" s="82">
        <f>[2]Munka1!$E$19</f>
        <v>36192000</v>
      </c>
      <c r="D39" s="82">
        <f>[2]Munka1!$E$19</f>
        <v>36192000</v>
      </c>
      <c r="E39" s="81">
        <v>35815000</v>
      </c>
      <c r="F39" s="81">
        <v>35626500</v>
      </c>
    </row>
    <row r="40" spans="1:257" x14ac:dyDescent="0.25">
      <c r="A40" s="41" t="s">
        <v>60</v>
      </c>
      <c r="B40" s="79">
        <v>7357500</v>
      </c>
      <c r="C40" s="82">
        <f>[2]Munka1!$E$20</f>
        <v>6213000</v>
      </c>
      <c r="D40" s="82">
        <f>[2]Munka1!$E$20</f>
        <v>6213000</v>
      </c>
      <c r="E40" s="81">
        <f t="shared" ref="E40:E48" si="0">D40</f>
        <v>6213000</v>
      </c>
      <c r="F40" s="81">
        <v>6540000</v>
      </c>
    </row>
    <row r="41" spans="1:257" x14ac:dyDescent="0.25">
      <c r="A41" s="42" t="s">
        <v>62</v>
      </c>
      <c r="B41" s="79">
        <f>SUM(6050000+4180000+12100000)</f>
        <v>22330000</v>
      </c>
      <c r="C41" s="82">
        <f>[2]Munka1!$E$21+[2]Munka1!$E$22+[2]Munka1!$E$23</f>
        <v>24970000</v>
      </c>
      <c r="D41" s="82">
        <f>[2]Munka1!$E$21+[2]Munka1!$E$22+[2]Munka1!$E$23</f>
        <v>24970000</v>
      </c>
      <c r="E41" s="81">
        <v>22880000</v>
      </c>
      <c r="F41" s="81">
        <v>23870000</v>
      </c>
    </row>
    <row r="42" spans="1:257" x14ac:dyDescent="0.25">
      <c r="A42" s="41" t="s">
        <v>63</v>
      </c>
      <c r="B42" s="79">
        <v>11129400</v>
      </c>
      <c r="C42" s="82">
        <f>[2]Munka1!$E$24</f>
        <v>8903520</v>
      </c>
      <c r="D42" s="82">
        <f>[2]Munka1!$E$24</f>
        <v>8903520</v>
      </c>
      <c r="E42" s="81">
        <f t="shared" si="0"/>
        <v>8903520</v>
      </c>
      <c r="F42" s="81">
        <v>8903520</v>
      </c>
    </row>
    <row r="43" spans="1:257" x14ac:dyDescent="0.25">
      <c r="A43" s="41" t="s">
        <v>64</v>
      </c>
      <c r="B43" s="79">
        <v>20607400</v>
      </c>
      <c r="C43" s="82">
        <f>[2]Munka1!$E$25</f>
        <v>20607400</v>
      </c>
      <c r="D43" s="82">
        <f>[2]Munka1!$E$25</f>
        <v>20607400</v>
      </c>
      <c r="E43" s="81">
        <v>21122585</v>
      </c>
      <c r="F43" s="81">
        <v>21122585</v>
      </c>
      <c r="G43" s="116"/>
      <c r="H43" s="116"/>
    </row>
    <row r="44" spans="1:257" x14ac:dyDescent="0.25">
      <c r="A44" s="41" t="s">
        <v>65</v>
      </c>
      <c r="B44" s="79">
        <v>83393280</v>
      </c>
      <c r="C44" s="82">
        <f>[2]Munka1!$E$26</f>
        <v>83393280</v>
      </c>
      <c r="D44" s="82">
        <f>[2]Munka1!$E$26</f>
        <v>83393280</v>
      </c>
      <c r="E44" s="81">
        <f t="shared" si="0"/>
        <v>83393280</v>
      </c>
      <c r="F44" s="81">
        <f>83393280+5457936</f>
        <v>88851216</v>
      </c>
    </row>
    <row r="45" spans="1:257" x14ac:dyDescent="0.25">
      <c r="A45" s="42" t="s">
        <v>66</v>
      </c>
      <c r="B45" s="79">
        <v>19973000</v>
      </c>
      <c r="C45" s="82">
        <v>25725104</v>
      </c>
      <c r="D45" s="82">
        <v>25725104</v>
      </c>
      <c r="E45" s="81">
        <f>D45+8700896</f>
        <v>34426000</v>
      </c>
      <c r="F45" s="81">
        <v>36446429</v>
      </c>
      <c r="G45" s="137"/>
    </row>
    <row r="46" spans="1:257" x14ac:dyDescent="0.25">
      <c r="A46" s="21" t="s">
        <v>67</v>
      </c>
      <c r="B46" s="79">
        <v>56470000</v>
      </c>
      <c r="C46" s="81">
        <f>'[1]KESZI költségvetés'!$D$27*1000</f>
        <v>72513000</v>
      </c>
      <c r="D46" s="81">
        <f>'[1]KESZI költségvetés'!$D$27*1000</f>
        <v>72513000</v>
      </c>
      <c r="E46" s="81">
        <f t="shared" si="0"/>
        <v>72513000</v>
      </c>
      <c r="F46" s="81">
        <v>72513000</v>
      </c>
    </row>
    <row r="47" spans="1:257" x14ac:dyDescent="0.25">
      <c r="A47" s="83" t="s">
        <v>68</v>
      </c>
      <c r="B47" s="84">
        <v>12615000</v>
      </c>
      <c r="C47" s="85">
        <f>'[1]KESZI költségvetés'!$D$26*1000</f>
        <v>12615000</v>
      </c>
      <c r="D47" s="85">
        <f>'[1]KESZI költségvetés'!$D$26*1000</f>
        <v>12615000</v>
      </c>
      <c r="E47" s="81">
        <f t="shared" si="0"/>
        <v>12615000</v>
      </c>
      <c r="F47" s="81">
        <v>12615000</v>
      </c>
    </row>
    <row r="48" spans="1:257" customFormat="1" x14ac:dyDescent="0.25">
      <c r="A48" s="80" t="s">
        <v>128</v>
      </c>
      <c r="B48" s="86"/>
      <c r="C48" s="81">
        <f>'[1]KESZI költségvetés'!$D$28*1000</f>
        <v>3681000</v>
      </c>
      <c r="D48" s="81">
        <f>'[1]KESZI költségvetés'!$D$28*1000</f>
        <v>3681000</v>
      </c>
      <c r="E48" s="81">
        <f t="shared" si="0"/>
        <v>3681000</v>
      </c>
      <c r="F48" s="81">
        <v>3681000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</row>
    <row r="49" spans="1:257" customFormat="1" x14ac:dyDescent="0.25">
      <c r="A49" s="80" t="s">
        <v>176</v>
      </c>
      <c r="B49" s="86"/>
      <c r="C49" s="81"/>
      <c r="D49" s="81">
        <v>5572953</v>
      </c>
      <c r="E49" s="81">
        <f>D49+727583+720852</f>
        <v>7021388</v>
      </c>
      <c r="F49" s="81">
        <v>8795258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</row>
    <row r="50" spans="1:257" customFormat="1" x14ac:dyDescent="0.25">
      <c r="A50" s="80" t="s">
        <v>183</v>
      </c>
      <c r="B50" s="86"/>
      <c r="C50" s="81"/>
      <c r="D50" s="81">
        <v>3269344</v>
      </c>
      <c r="E50" s="81">
        <f>D50+2553090</f>
        <v>5822434</v>
      </c>
      <c r="F50" s="81">
        <v>5822434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</row>
    <row r="51" spans="1:257" customFormat="1" x14ac:dyDescent="0.25">
      <c r="A51" s="124" t="s">
        <v>184</v>
      </c>
      <c r="B51" s="125"/>
      <c r="C51" s="85"/>
      <c r="D51" s="85">
        <v>1939894</v>
      </c>
      <c r="E51" s="81">
        <f>D51+142138+411480</f>
        <v>2493512</v>
      </c>
      <c r="F51" s="81">
        <v>2493512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</row>
    <row r="52" spans="1:257" customFormat="1" x14ac:dyDescent="0.25">
      <c r="A52" s="80" t="s">
        <v>200</v>
      </c>
      <c r="B52" s="86"/>
      <c r="C52" s="81"/>
      <c r="D52" s="81"/>
      <c r="E52" s="81">
        <f>1917645+7670580</f>
        <v>9588225</v>
      </c>
      <c r="F52" s="81">
        <v>9588225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</row>
    <row r="53" spans="1:257" s="134" customFormat="1" x14ac:dyDescent="0.25">
      <c r="A53" s="80" t="s">
        <v>214</v>
      </c>
      <c r="B53" s="86"/>
      <c r="C53" s="81"/>
      <c r="D53" s="81"/>
      <c r="E53" s="81">
        <v>-6505497</v>
      </c>
      <c r="F53" s="81">
        <v>-14726474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</row>
    <row r="54" spans="1:257" x14ac:dyDescent="0.25">
      <c r="B54" s="43">
        <f>SUM(B38:B47)</f>
        <v>296151280</v>
      </c>
      <c r="C54" s="43">
        <f>SUM(C38:C48)</f>
        <v>320755000</v>
      </c>
      <c r="D54" s="43">
        <f>SUM(D38:D51)</f>
        <v>331537191</v>
      </c>
      <c r="E54" s="116">
        <f>SUM(E38:E53)</f>
        <v>345680559</v>
      </c>
      <c r="F54" s="116">
        <f>SUM(F38:F53)</f>
        <v>347657629</v>
      </c>
    </row>
    <row r="56" spans="1:257" x14ac:dyDescent="0.25">
      <c r="A56" s="134" t="s">
        <v>211</v>
      </c>
    </row>
  </sheetData>
  <mergeCells count="5">
    <mergeCell ref="A6:C6"/>
    <mergeCell ref="B1:C1"/>
    <mergeCell ref="A3:C3"/>
    <mergeCell ref="A4:C4"/>
    <mergeCell ref="A5:C5"/>
  </mergeCells>
  <phoneticPr fontId="20" type="noConversion"/>
  <pageMargins left="0.70000000000000007" right="0.70000000000000007" top="1.1437007874015752" bottom="1.1437007874015752" header="0.75000000000000011" footer="0.75000000000000011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45"/>
  <sheetViews>
    <sheetView topLeftCell="A13" workbookViewId="0">
      <selection activeCell="G37" sqref="G37"/>
    </sheetView>
  </sheetViews>
  <sheetFormatPr defaultColWidth="8.75" defaultRowHeight="15" x14ac:dyDescent="0.25"/>
  <cols>
    <col min="1" max="1" width="53.625" style="1" customWidth="1"/>
    <col min="2" max="2" width="13.875" style="1" customWidth="1"/>
    <col min="3" max="3" width="15" style="1" customWidth="1"/>
    <col min="4" max="4" width="14.75" style="1" bestFit="1" customWidth="1"/>
    <col min="5" max="5" width="14.75" style="1" customWidth="1"/>
    <col min="6" max="6" width="13.5" style="1" customWidth="1"/>
    <col min="7" max="7" width="12.25" style="1" customWidth="1"/>
    <col min="8" max="8" width="12.5" style="1" customWidth="1"/>
    <col min="9" max="16384" width="8.75" style="1"/>
  </cols>
  <sheetData>
    <row r="1" spans="1:257" x14ac:dyDescent="0.25">
      <c r="B1" s="143" t="s">
        <v>69</v>
      </c>
      <c r="C1" s="143"/>
    </row>
    <row r="2" spans="1:257" x14ac:dyDescent="0.25">
      <c r="B2" s="2"/>
    </row>
    <row r="3" spans="1:257" x14ac:dyDescent="0.25">
      <c r="A3" s="143" t="s">
        <v>1</v>
      </c>
      <c r="B3" s="143"/>
      <c r="C3" s="143"/>
    </row>
    <row r="4" spans="1:257" x14ac:dyDescent="0.25">
      <c r="A4" s="143" t="s">
        <v>192</v>
      </c>
      <c r="B4" s="143"/>
      <c r="C4" s="143"/>
    </row>
    <row r="5" spans="1:257" ht="15.75" x14ac:dyDescent="0.25">
      <c r="A5" s="147" t="s">
        <v>13</v>
      </c>
      <c r="B5" s="147"/>
      <c r="C5" s="147"/>
    </row>
    <row r="6" spans="1:257" ht="15.75" x14ac:dyDescent="0.25">
      <c r="A6" s="147" t="s">
        <v>14</v>
      </c>
      <c r="B6" s="147"/>
      <c r="C6" s="147"/>
    </row>
    <row r="8" spans="1:257" ht="15.75" x14ac:dyDescent="0.25">
      <c r="B8" s="12"/>
      <c r="C8" s="12" t="s">
        <v>53</v>
      </c>
      <c r="D8" s="12" t="s">
        <v>53</v>
      </c>
      <c r="E8" s="135"/>
    </row>
    <row r="9" spans="1:257" ht="15.75" customHeight="1" x14ac:dyDescent="0.25">
      <c r="A9" s="148" t="s">
        <v>70</v>
      </c>
      <c r="B9" s="148"/>
      <c r="C9" s="148"/>
      <c r="D9" s="126"/>
      <c r="E9" s="126"/>
    </row>
    <row r="10" spans="1:257" ht="15.75" x14ac:dyDescent="0.25">
      <c r="A10" s="14" t="s">
        <v>6</v>
      </c>
      <c r="B10" s="14" t="s">
        <v>18</v>
      </c>
      <c r="C10" s="14" t="s">
        <v>170</v>
      </c>
      <c r="D10" s="14" t="s">
        <v>170</v>
      </c>
      <c r="E10" s="14" t="s">
        <v>170</v>
      </c>
      <c r="F10" s="15" t="s">
        <v>19</v>
      </c>
    </row>
    <row r="11" spans="1:257" ht="33" customHeight="1" x14ac:dyDescent="0.25">
      <c r="A11" s="16"/>
      <c r="B11" s="17" t="s">
        <v>122</v>
      </c>
      <c r="C11" s="17" t="s">
        <v>195</v>
      </c>
      <c r="D11" s="17" t="s">
        <v>196</v>
      </c>
      <c r="E11" s="17" t="s">
        <v>215</v>
      </c>
      <c r="F11" s="18" t="s">
        <v>123</v>
      </c>
    </row>
    <row r="12" spans="1:257" ht="15.75" x14ac:dyDescent="0.25">
      <c r="A12" s="19" t="s">
        <v>21</v>
      </c>
      <c r="B12" s="20">
        <f>'[1]KGYCSSZK költségvetés'!$F$4/1000</f>
        <v>97862.313999999998</v>
      </c>
      <c r="C12" s="20">
        <v>101752</v>
      </c>
      <c r="D12" s="131">
        <v>108198</v>
      </c>
      <c r="E12" s="131">
        <v>109252</v>
      </c>
      <c r="F12" s="21" t="s">
        <v>22</v>
      </c>
    </row>
    <row r="13" spans="1:257" ht="15.75" x14ac:dyDescent="0.25">
      <c r="A13" s="19" t="s">
        <v>23</v>
      </c>
      <c r="B13" s="20">
        <f>'[1]KGYCSSZK költségvetés'!$F$5/1000</f>
        <v>24495.052</v>
      </c>
      <c r="C13" s="20">
        <v>25324</v>
      </c>
      <c r="D13" s="131">
        <v>27064</v>
      </c>
      <c r="E13" s="131">
        <v>27402</v>
      </c>
      <c r="F13" s="21" t="s">
        <v>24</v>
      </c>
    </row>
    <row r="14" spans="1:257" ht="15.75" x14ac:dyDescent="0.25">
      <c r="A14" s="19" t="s">
        <v>25</v>
      </c>
      <c r="B14" s="20">
        <f>'[1]KGYCSSZK költségvetés'!$F$19/1000</f>
        <v>18677</v>
      </c>
      <c r="C14" s="20">
        <v>20701</v>
      </c>
      <c r="D14" s="20">
        <v>20701</v>
      </c>
      <c r="E14" s="20">
        <v>20220</v>
      </c>
      <c r="F14" s="21" t="s">
        <v>26</v>
      </c>
    </row>
    <row r="15" spans="1:257" ht="15.75" x14ac:dyDescent="0.25">
      <c r="A15" s="19" t="s">
        <v>191</v>
      </c>
      <c r="B15" s="20">
        <f>'[1]KGYCSSZK költségvetés'!$F$20/1000</f>
        <v>420</v>
      </c>
      <c r="C15" s="20">
        <f>'[1]KGYCSSZK költségvetés'!$F$20/1000</f>
        <v>420</v>
      </c>
      <c r="D15" s="20">
        <v>420</v>
      </c>
      <c r="E15" s="20">
        <v>420</v>
      </c>
      <c r="F15" s="21" t="s">
        <v>28</v>
      </c>
    </row>
    <row r="16" spans="1:257" customFormat="1" ht="15.75" x14ac:dyDescent="0.25">
      <c r="A16" s="19" t="s">
        <v>193</v>
      </c>
      <c r="B16" s="20"/>
      <c r="C16" s="20">
        <v>168</v>
      </c>
      <c r="D16" s="20">
        <v>168</v>
      </c>
      <c r="E16" s="20">
        <v>168</v>
      </c>
      <c r="F16" s="21" t="s">
        <v>171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</row>
    <row r="17" spans="1:6" ht="15.75" x14ac:dyDescent="0.25">
      <c r="A17" s="19" t="s">
        <v>29</v>
      </c>
      <c r="B17" s="20">
        <v>0</v>
      </c>
      <c r="C17" s="20">
        <f>270+4086</f>
        <v>4356</v>
      </c>
      <c r="D17" s="20">
        <v>4356</v>
      </c>
      <c r="E17" s="20">
        <f>2351+4586</f>
        <v>6937</v>
      </c>
      <c r="F17" s="22" t="s">
        <v>30</v>
      </c>
    </row>
    <row r="18" spans="1:6" ht="15.75" x14ac:dyDescent="0.25">
      <c r="A18" s="24" t="s">
        <v>33</v>
      </c>
      <c r="B18" s="25">
        <f>SUM(B12:B17)</f>
        <v>141454.36599999998</v>
      </c>
      <c r="C18" s="25">
        <f>SUM(C12:C17)</f>
        <v>152721</v>
      </c>
      <c r="D18" s="25">
        <f>SUM(D12:D17)</f>
        <v>160907</v>
      </c>
      <c r="E18" s="25">
        <f>SUM(E12:E17)</f>
        <v>164399</v>
      </c>
      <c r="F18" s="21"/>
    </row>
    <row r="19" spans="1:6" ht="15.75" x14ac:dyDescent="0.25">
      <c r="A19" s="30" t="s">
        <v>37</v>
      </c>
      <c r="B19" s="27">
        <f>B18</f>
        <v>141454.36599999998</v>
      </c>
      <c r="C19" s="27">
        <f>C18</f>
        <v>152721</v>
      </c>
      <c r="D19" s="27">
        <f>D18</f>
        <v>160907</v>
      </c>
      <c r="E19" s="27">
        <f>E18</f>
        <v>164399</v>
      </c>
      <c r="F19" s="21"/>
    </row>
    <row r="20" spans="1:6" ht="15.75" x14ac:dyDescent="0.25">
      <c r="A20" s="31"/>
      <c r="B20" s="29"/>
      <c r="C20" s="29"/>
      <c r="D20" s="29"/>
      <c r="E20" s="29"/>
    </row>
    <row r="21" spans="1:6" ht="15.75" x14ac:dyDescent="0.25">
      <c r="A21" s="19" t="s">
        <v>38</v>
      </c>
      <c r="B21" s="23">
        <f>'[1]KGYCSSZK költségvetés'!$F$25/1000+'[1]KGYCSSZK költségvetés'!$F$24/1000</f>
        <v>2240</v>
      </c>
      <c r="C21" s="23">
        <v>1825</v>
      </c>
      <c r="D21" s="23">
        <v>1825</v>
      </c>
      <c r="E21" s="23">
        <v>1825</v>
      </c>
      <c r="F21" s="21" t="s">
        <v>39</v>
      </c>
    </row>
    <row r="22" spans="1:6" ht="30" x14ac:dyDescent="0.25">
      <c r="A22" s="19" t="s">
        <v>41</v>
      </c>
      <c r="B22" s="20">
        <v>0</v>
      </c>
      <c r="C22" s="20">
        <v>0</v>
      </c>
      <c r="D22" s="20">
        <v>0</v>
      </c>
      <c r="E22" s="20">
        <v>0</v>
      </c>
      <c r="F22" s="22" t="s">
        <v>42</v>
      </c>
    </row>
    <row r="23" spans="1:6" ht="15.75" x14ac:dyDescent="0.25">
      <c r="A23" s="19" t="s">
        <v>43</v>
      </c>
      <c r="B23" s="20">
        <v>0</v>
      </c>
      <c r="C23" s="20">
        <v>0</v>
      </c>
      <c r="D23" s="20">
        <v>0</v>
      </c>
      <c r="E23" s="20">
        <v>0</v>
      </c>
      <c r="F23" s="21"/>
    </row>
    <row r="24" spans="1:6" ht="15.75" x14ac:dyDescent="0.25">
      <c r="A24" s="19" t="s">
        <v>44</v>
      </c>
      <c r="B24" s="20">
        <f>'[1]KGYCSSZK költségvetés'!$F$23/1000</f>
        <v>370</v>
      </c>
      <c r="C24" s="20">
        <f>1250+1414</f>
        <v>2664</v>
      </c>
      <c r="D24" s="20">
        <v>2664</v>
      </c>
      <c r="E24" s="20">
        <f>1250+3014</f>
        <v>4264</v>
      </c>
      <c r="F24" s="21" t="s">
        <v>55</v>
      </c>
    </row>
    <row r="25" spans="1:6" ht="15.75" x14ac:dyDescent="0.25">
      <c r="A25" s="19" t="s">
        <v>46</v>
      </c>
      <c r="B25" s="20">
        <v>0</v>
      </c>
      <c r="C25" s="20">
        <v>0</v>
      </c>
      <c r="D25" s="20">
        <v>0</v>
      </c>
      <c r="E25" s="20">
        <v>0</v>
      </c>
      <c r="F25" s="21"/>
    </row>
    <row r="26" spans="1:6" ht="15.75" x14ac:dyDescent="0.25">
      <c r="A26" s="19" t="s">
        <v>71</v>
      </c>
      <c r="B26" s="20">
        <f>'[1]KGYCSSZK költségvetés'!$F$27/1000</f>
        <v>138844.36600000001</v>
      </c>
      <c r="C26" s="20">
        <v>147817</v>
      </c>
      <c r="D26" s="131">
        <v>156003</v>
      </c>
      <c r="E26" s="131">
        <v>157895</v>
      </c>
      <c r="F26" s="21" t="s">
        <v>45</v>
      </c>
    </row>
    <row r="27" spans="1:6" ht="15.75" x14ac:dyDescent="0.25">
      <c r="A27" s="19" t="s">
        <v>47</v>
      </c>
      <c r="B27" s="20">
        <v>0</v>
      </c>
      <c r="C27" s="20">
        <v>0</v>
      </c>
      <c r="D27" s="20">
        <v>0</v>
      </c>
      <c r="E27" s="20">
        <v>0</v>
      </c>
      <c r="F27" s="21" t="s">
        <v>48</v>
      </c>
    </row>
    <row r="28" spans="1:6" ht="15.75" x14ac:dyDescent="0.25">
      <c r="A28" s="24" t="s">
        <v>49</v>
      </c>
      <c r="B28" s="25">
        <f>SUM(B27,B26,B24,B21)</f>
        <v>141454.36600000001</v>
      </c>
      <c r="C28" s="25">
        <f>SUM(C27,C26,C24,C21)</f>
        <v>152306</v>
      </c>
      <c r="D28" s="25">
        <f>SUM(D21:D27)</f>
        <v>160492</v>
      </c>
      <c r="E28" s="25">
        <f>SUM(E21:E27)</f>
        <v>163984</v>
      </c>
      <c r="F28" s="21"/>
    </row>
    <row r="29" spans="1:6" ht="15.75" x14ac:dyDescent="0.25">
      <c r="A29" s="19" t="s">
        <v>172</v>
      </c>
      <c r="B29" s="20">
        <v>0</v>
      </c>
      <c r="C29" s="20">
        <v>415</v>
      </c>
      <c r="D29" s="20">
        <v>415</v>
      </c>
      <c r="E29" s="20">
        <v>415</v>
      </c>
      <c r="F29" s="21" t="s">
        <v>197</v>
      </c>
    </row>
    <row r="30" spans="1:6" ht="15.75" x14ac:dyDescent="0.25">
      <c r="A30" s="33" t="s">
        <v>51</v>
      </c>
      <c r="B30" s="27">
        <f>SUM(B28+B29)</f>
        <v>141454.36600000001</v>
      </c>
      <c r="C30" s="27">
        <f>SUM(C28+C29)</f>
        <v>152721</v>
      </c>
      <c r="D30" s="27">
        <f>SUM(D28+D29)</f>
        <v>160907</v>
      </c>
      <c r="E30" s="27">
        <f>SUM(E28+E29)</f>
        <v>164399</v>
      </c>
      <c r="F30" s="21"/>
    </row>
    <row r="32" spans="1:6" ht="30" x14ac:dyDescent="0.25">
      <c r="A32" s="87" t="s">
        <v>175</v>
      </c>
      <c r="B32" s="2" t="s">
        <v>57</v>
      </c>
    </row>
    <row r="33" spans="1:257" customFormat="1" x14ac:dyDescent="0.25">
      <c r="A33" s="87"/>
      <c r="B33" s="2" t="s">
        <v>174</v>
      </c>
      <c r="C33" s="2" t="s">
        <v>198</v>
      </c>
      <c r="D33" s="139" t="s">
        <v>199</v>
      </c>
      <c r="E33" s="139" t="s">
        <v>213</v>
      </c>
      <c r="F33" s="140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</row>
    <row r="34" spans="1:257" x14ac:dyDescent="0.25">
      <c r="A34" s="44" t="s">
        <v>72</v>
      </c>
      <c r="B34" s="79">
        <v>78138520</v>
      </c>
      <c r="C34" s="81">
        <f>[2]Munka1!$E$6+[2]Munka1!$E$7+[2]Munka1!$E$8+[2]Munka1!$E$9</f>
        <v>78138520</v>
      </c>
      <c r="D34" s="81">
        <f t="shared" ref="D34:D39" si="0">C34</f>
        <v>78138520</v>
      </c>
      <c r="E34" s="81">
        <v>78138520</v>
      </c>
      <c r="F34" s="138">
        <f>E34+E40+E41</f>
        <v>90324355</v>
      </c>
    </row>
    <row r="35" spans="1:257" x14ac:dyDescent="0.25">
      <c r="A35" s="21" t="s">
        <v>67</v>
      </c>
      <c r="B35" s="79">
        <v>42261266</v>
      </c>
      <c r="C35" s="81">
        <f>'[1]KGYCSSZK költségvetés'!$F$32</f>
        <v>42261266</v>
      </c>
      <c r="D35" s="81">
        <f t="shared" si="0"/>
        <v>42261266</v>
      </c>
      <c r="E35" s="81">
        <v>42261266</v>
      </c>
      <c r="F35" s="138"/>
    </row>
    <row r="36" spans="1:257" x14ac:dyDescent="0.25">
      <c r="A36" s="83" t="s">
        <v>177</v>
      </c>
      <c r="B36" s="84">
        <v>7282500</v>
      </c>
      <c r="C36" s="85">
        <f>'[1]KGYCSSZK költségvetés'!$F$31</f>
        <v>7282500</v>
      </c>
      <c r="D36" s="81">
        <f t="shared" si="0"/>
        <v>7282500</v>
      </c>
      <c r="E36" s="81">
        <v>7282500</v>
      </c>
      <c r="F36" s="138"/>
      <c r="G36" s="1">
        <f>F34+'2B'!G38</f>
        <v>355583512</v>
      </c>
    </row>
    <row r="37" spans="1:257" customFormat="1" ht="30" x14ac:dyDescent="0.25">
      <c r="A37" s="90" t="s">
        <v>178</v>
      </c>
      <c r="B37" s="86">
        <v>11162080</v>
      </c>
      <c r="C37" s="86">
        <v>11162080</v>
      </c>
      <c r="D37" s="81">
        <f t="shared" si="0"/>
        <v>11162080</v>
      </c>
      <c r="E37" s="81">
        <v>11162080</v>
      </c>
      <c r="F37" s="136"/>
      <c r="G37" s="116"/>
      <c r="H37" s="116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</row>
    <row r="38" spans="1:257" customFormat="1" x14ac:dyDescent="0.25">
      <c r="A38" s="80" t="s">
        <v>180</v>
      </c>
      <c r="B38" s="86"/>
      <c r="C38" s="81">
        <v>4086225</v>
      </c>
      <c r="D38" s="81">
        <f t="shared" si="0"/>
        <v>4086225</v>
      </c>
      <c r="E38" s="81">
        <f>4086225+500000</f>
        <v>4586225</v>
      </c>
      <c r="F38" s="138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</row>
    <row r="39" spans="1:257" customFormat="1" x14ac:dyDescent="0.25">
      <c r="A39" s="80" t="s">
        <v>181</v>
      </c>
      <c r="B39" s="86"/>
      <c r="C39" s="81">
        <v>1800186</v>
      </c>
      <c r="D39" s="81">
        <f t="shared" si="0"/>
        <v>1800186</v>
      </c>
      <c r="E39" s="81">
        <v>2279738</v>
      </c>
      <c r="F39" s="138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</row>
    <row r="40" spans="1:257" customFormat="1" x14ac:dyDescent="0.25">
      <c r="A40" s="80" t="s">
        <v>179</v>
      </c>
      <c r="B40" s="86"/>
      <c r="C40" s="81">
        <v>3086688</v>
      </c>
      <c r="D40" s="81">
        <f>C40+820166</f>
        <v>3906854</v>
      </c>
      <c r="E40" s="81">
        <f>D40+362204+374777+374777-198327</f>
        <v>4820285</v>
      </c>
      <c r="F40" s="138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</row>
    <row r="41" spans="1:257" customFormat="1" x14ac:dyDescent="0.25">
      <c r="A41" s="80" t="s">
        <v>200</v>
      </c>
      <c r="B41" s="86"/>
      <c r="C41" s="81"/>
      <c r="D41" s="81">
        <f>1473110+5892440</f>
        <v>7365550</v>
      </c>
      <c r="E41" s="81">
        <f>D41</f>
        <v>7365550</v>
      </c>
      <c r="F41" s="138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</row>
    <row r="42" spans="1:257" s="134" customFormat="1" x14ac:dyDescent="0.25">
      <c r="A42" s="80" t="s">
        <v>214</v>
      </c>
      <c r="B42" s="86"/>
      <c r="C42" s="81">
        <v>-366</v>
      </c>
      <c r="D42" s="81">
        <v>-366</v>
      </c>
      <c r="E42" s="81">
        <v>-366</v>
      </c>
      <c r="F42" s="138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</row>
    <row r="43" spans="1:257" x14ac:dyDescent="0.25">
      <c r="A43" s="1" t="s">
        <v>73</v>
      </c>
      <c r="B43" s="43">
        <f>SUM(B34:B38)</f>
        <v>138844366</v>
      </c>
      <c r="C43" s="43">
        <f>SUM(C34:C42)</f>
        <v>147817099</v>
      </c>
      <c r="D43" s="116">
        <f>SUM(D34:D42)</f>
        <v>156002815</v>
      </c>
      <c r="E43" s="116">
        <f>SUM(E34:E42)</f>
        <v>157895798</v>
      </c>
    </row>
    <row r="45" spans="1:257" x14ac:dyDescent="0.25">
      <c r="A45" s="134" t="s">
        <v>211</v>
      </c>
      <c r="H45" s="116"/>
    </row>
  </sheetData>
  <mergeCells count="6">
    <mergeCell ref="A9:C9"/>
    <mergeCell ref="B1:C1"/>
    <mergeCell ref="A3:C3"/>
    <mergeCell ref="A4:C4"/>
    <mergeCell ref="A5:C5"/>
    <mergeCell ref="A6:C6"/>
  </mergeCells>
  <phoneticPr fontId="20" type="noConversion"/>
  <pageMargins left="0.70000000000000007" right="0.70000000000000007" top="1.1437007874015752" bottom="1.1437007874015752" header="0.75000000000000011" footer="0.75000000000000011"/>
  <pageSetup paperSize="9" scale="6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opLeftCell="A16" workbookViewId="0">
      <selection activeCell="E30" sqref="E30"/>
    </sheetView>
  </sheetViews>
  <sheetFormatPr defaultColWidth="8.75" defaultRowHeight="15" x14ac:dyDescent="0.25"/>
  <cols>
    <col min="1" max="1" width="59.125" style="1" customWidth="1"/>
    <col min="2" max="2" width="14" style="1" customWidth="1"/>
    <col min="3" max="3" width="15.125" style="1" customWidth="1"/>
    <col min="4" max="5" width="12.875" style="1" customWidth="1"/>
    <col min="6" max="16384" width="8.75" style="1"/>
  </cols>
  <sheetData>
    <row r="1" spans="1:7" x14ac:dyDescent="0.25">
      <c r="B1" s="143" t="s">
        <v>74</v>
      </c>
      <c r="C1" s="143"/>
    </row>
    <row r="2" spans="1:7" x14ac:dyDescent="0.25">
      <c r="B2" s="2"/>
    </row>
    <row r="3" spans="1:7" x14ac:dyDescent="0.25">
      <c r="A3" s="143" t="s">
        <v>1</v>
      </c>
      <c r="B3" s="143"/>
      <c r="C3" s="143"/>
    </row>
    <row r="4" spans="1:7" x14ac:dyDescent="0.25">
      <c r="A4" s="143" t="s">
        <v>192</v>
      </c>
      <c r="B4" s="143"/>
      <c r="C4" s="143"/>
    </row>
    <row r="5" spans="1:7" ht="15.75" x14ac:dyDescent="0.25">
      <c r="A5" s="147" t="s">
        <v>13</v>
      </c>
      <c r="B5" s="147"/>
      <c r="C5" s="147"/>
    </row>
    <row r="6" spans="1:7" ht="15.75" x14ac:dyDescent="0.25">
      <c r="A6" s="147" t="s">
        <v>14</v>
      </c>
      <c r="B6" s="147"/>
      <c r="C6" s="147"/>
    </row>
    <row r="8" spans="1:7" ht="31.5" x14ac:dyDescent="0.25">
      <c r="B8" s="12"/>
      <c r="C8" s="45" t="s">
        <v>75</v>
      </c>
      <c r="D8" s="45" t="s">
        <v>75</v>
      </c>
      <c r="E8" s="45" t="s">
        <v>75</v>
      </c>
    </row>
    <row r="9" spans="1:7" ht="15.75" customHeight="1" x14ac:dyDescent="0.25">
      <c r="A9" s="148" t="s">
        <v>8</v>
      </c>
      <c r="B9" s="148"/>
      <c r="C9" s="148"/>
    </row>
    <row r="10" spans="1:7" ht="15.75" x14ac:dyDescent="0.25">
      <c r="A10" s="14" t="s">
        <v>6</v>
      </c>
      <c r="B10" s="38" t="s">
        <v>18</v>
      </c>
      <c r="C10" s="38" t="s">
        <v>170</v>
      </c>
      <c r="D10" s="38" t="s">
        <v>170</v>
      </c>
      <c r="E10" s="38" t="s">
        <v>170</v>
      </c>
      <c r="F10" s="15" t="s">
        <v>19</v>
      </c>
    </row>
    <row r="11" spans="1:7" ht="33" customHeight="1" x14ac:dyDescent="0.25">
      <c r="A11" s="16"/>
      <c r="B11" s="39" t="s">
        <v>122</v>
      </c>
      <c r="C11" s="39" t="s">
        <v>195</v>
      </c>
      <c r="D11" s="39" t="s">
        <v>196</v>
      </c>
      <c r="E11" s="39" t="s">
        <v>215</v>
      </c>
      <c r="F11" s="18" t="s">
        <v>123</v>
      </c>
    </row>
    <row r="12" spans="1:7" ht="15.75" x14ac:dyDescent="0.25">
      <c r="A12" s="19" t="s">
        <v>21</v>
      </c>
      <c r="B12" s="23">
        <f>[1]Munka1!$C$6/1000</f>
        <v>1000</v>
      </c>
      <c r="C12" s="23">
        <f>[1]Munka1!$C$6/1000</f>
        <v>1000</v>
      </c>
      <c r="D12" s="23">
        <v>1000</v>
      </c>
      <c r="E12" s="23">
        <v>1000</v>
      </c>
      <c r="F12" s="21" t="s">
        <v>22</v>
      </c>
      <c r="G12" s="1" t="s">
        <v>76</v>
      </c>
    </row>
    <row r="13" spans="1:7" ht="15.75" x14ac:dyDescent="0.25">
      <c r="A13" s="19" t="s">
        <v>23</v>
      </c>
      <c r="B13" s="23">
        <f>[1]Munka1!$C$11/1000</f>
        <v>511.7</v>
      </c>
      <c r="C13" s="23">
        <f>[1]Munka1!$C$11/1000</f>
        <v>511.7</v>
      </c>
      <c r="D13" s="23">
        <v>512</v>
      </c>
      <c r="E13" s="23">
        <v>512</v>
      </c>
      <c r="F13" s="21" t="s">
        <v>24</v>
      </c>
      <c r="G13" s="1" t="s">
        <v>76</v>
      </c>
    </row>
    <row r="14" spans="1:7" ht="15.75" x14ac:dyDescent="0.25">
      <c r="A14" s="19" t="s">
        <v>25</v>
      </c>
      <c r="B14" s="23">
        <f>[1]Munka1!$C$19/1000</f>
        <v>12821.3</v>
      </c>
      <c r="C14" s="23">
        <v>18181</v>
      </c>
      <c r="D14" s="132">
        <v>16724</v>
      </c>
      <c r="E14" s="132">
        <v>21817</v>
      </c>
      <c r="F14" s="21" t="s">
        <v>26</v>
      </c>
      <c r="G14" s="1" t="s">
        <v>76</v>
      </c>
    </row>
    <row r="15" spans="1:7" ht="15.75" x14ac:dyDescent="0.25">
      <c r="A15" s="19" t="s">
        <v>27</v>
      </c>
      <c r="B15" s="23">
        <f>[1]Munka1!$C$24/1000</f>
        <v>6127</v>
      </c>
      <c r="C15" s="23">
        <v>8247</v>
      </c>
      <c r="D15" s="132">
        <v>9704</v>
      </c>
      <c r="E15" s="132">
        <f>2120+5057+2527</f>
        <v>9704</v>
      </c>
      <c r="F15" s="21" t="s">
        <v>129</v>
      </c>
    </row>
    <row r="16" spans="1:7" ht="15.75" x14ac:dyDescent="0.25">
      <c r="A16" s="19" t="s">
        <v>216</v>
      </c>
      <c r="B16" s="23">
        <v>0</v>
      </c>
      <c r="C16" s="23">
        <v>0</v>
      </c>
      <c r="D16" s="132">
        <v>0</v>
      </c>
      <c r="E16" s="132">
        <v>1827</v>
      </c>
      <c r="F16" s="21" t="s">
        <v>217</v>
      </c>
    </row>
    <row r="17" spans="1:6" ht="15.75" x14ac:dyDescent="0.25">
      <c r="A17" s="19" t="s">
        <v>77</v>
      </c>
      <c r="B17" s="23">
        <f>[1]Munka1!$C$33/1000</f>
        <v>459599.36599999998</v>
      </c>
      <c r="C17" s="23">
        <v>479354</v>
      </c>
      <c r="D17" s="132">
        <v>501683</v>
      </c>
      <c r="E17" s="132">
        <v>505553</v>
      </c>
      <c r="F17" s="22" t="s">
        <v>78</v>
      </c>
    </row>
    <row r="18" spans="1:6" ht="30" x14ac:dyDescent="0.25">
      <c r="A18" s="19" t="s">
        <v>29</v>
      </c>
      <c r="B18" s="23">
        <v>0</v>
      </c>
      <c r="C18" s="23">
        <v>0</v>
      </c>
      <c r="D18" s="23">
        <v>0</v>
      </c>
      <c r="E18" s="23">
        <v>0</v>
      </c>
      <c r="F18" s="22" t="s">
        <v>30</v>
      </c>
    </row>
    <row r="19" spans="1:6" ht="15.75" x14ac:dyDescent="0.25">
      <c r="A19" s="19" t="s">
        <v>31</v>
      </c>
      <c r="B19" s="23">
        <v>0</v>
      </c>
      <c r="C19" s="23">
        <v>0</v>
      </c>
      <c r="D19" s="23">
        <v>0</v>
      </c>
      <c r="E19" s="23">
        <v>0</v>
      </c>
      <c r="F19" s="21" t="s">
        <v>32</v>
      </c>
    </row>
    <row r="20" spans="1:6" ht="15.75" x14ac:dyDescent="0.25">
      <c r="A20" s="24" t="s">
        <v>33</v>
      </c>
      <c r="B20" s="25">
        <f>SUM(B12:B19)</f>
        <v>480059.36599999998</v>
      </c>
      <c r="C20" s="25">
        <f>SUM(C12:C19)</f>
        <v>507293.7</v>
      </c>
      <c r="D20" s="25">
        <f>SUM(D12:D19)</f>
        <v>529623</v>
      </c>
      <c r="E20" s="25">
        <f>SUM(E12:E19)</f>
        <v>540413</v>
      </c>
      <c r="F20" s="21"/>
    </row>
    <row r="21" spans="1:6" ht="15.75" x14ac:dyDescent="0.25">
      <c r="A21" s="19" t="s">
        <v>34</v>
      </c>
      <c r="B21" s="23">
        <f>[1]Munka1!$C$25/1000</f>
        <v>18060</v>
      </c>
      <c r="C21" s="23">
        <v>23631</v>
      </c>
      <c r="D21" s="133">
        <v>20524</v>
      </c>
      <c r="E21" s="133">
        <v>16602</v>
      </c>
      <c r="F21" s="83" t="s">
        <v>130</v>
      </c>
    </row>
    <row r="22" spans="1:6" ht="15.75" x14ac:dyDescent="0.25">
      <c r="A22" s="30" t="s">
        <v>37</v>
      </c>
      <c r="B22" s="28">
        <f>SUM(B20+B21)</f>
        <v>498119.36599999998</v>
      </c>
      <c r="C22" s="28">
        <f>SUM(C20+C21)</f>
        <v>530924.69999999995</v>
      </c>
      <c r="D22" s="118">
        <f>SUM(D20:D21)</f>
        <v>550147</v>
      </c>
      <c r="E22" s="118">
        <f>SUM(E20:E21)</f>
        <v>557015</v>
      </c>
      <c r="F22" s="80"/>
    </row>
    <row r="23" spans="1:6" ht="15.75" x14ac:dyDescent="0.25">
      <c r="A23" s="31"/>
      <c r="B23" s="29"/>
      <c r="C23" s="29"/>
      <c r="D23" s="29"/>
      <c r="E23" s="29"/>
      <c r="F23" s="46"/>
    </row>
    <row r="24" spans="1:6" ht="15.75" x14ac:dyDescent="0.25">
      <c r="A24" s="19" t="s">
        <v>38</v>
      </c>
      <c r="B24" s="23">
        <v>0</v>
      </c>
      <c r="C24" s="23">
        <v>10580</v>
      </c>
      <c r="D24" s="23">
        <v>10580</v>
      </c>
      <c r="E24" s="23">
        <v>11677</v>
      </c>
      <c r="F24" s="21" t="s">
        <v>39</v>
      </c>
    </row>
    <row r="25" spans="1:6" ht="15.75" x14ac:dyDescent="0.25">
      <c r="A25" s="19" t="s">
        <v>40</v>
      </c>
      <c r="B25" s="23">
        <v>0</v>
      </c>
      <c r="C25" s="23">
        <v>0</v>
      </c>
      <c r="D25" s="23">
        <v>0</v>
      </c>
      <c r="E25" s="23">
        <v>0</v>
      </c>
      <c r="F25" s="21"/>
    </row>
    <row r="26" spans="1:6" ht="45" x14ac:dyDescent="0.25">
      <c r="A26" s="19" t="s">
        <v>41</v>
      </c>
      <c r="B26" s="23">
        <v>0</v>
      </c>
      <c r="C26" s="23">
        <v>0</v>
      </c>
      <c r="D26" s="23">
        <v>0</v>
      </c>
      <c r="E26" s="23">
        <v>0</v>
      </c>
      <c r="F26" s="22" t="s">
        <v>42</v>
      </c>
    </row>
    <row r="27" spans="1:6" ht="15.75" x14ac:dyDescent="0.25">
      <c r="A27" s="19" t="s">
        <v>43</v>
      </c>
      <c r="B27" s="23">
        <v>0</v>
      </c>
      <c r="C27" s="23">
        <v>0</v>
      </c>
      <c r="D27" s="23">
        <v>0</v>
      </c>
      <c r="E27" s="23">
        <v>0</v>
      </c>
      <c r="F27" s="21"/>
    </row>
    <row r="28" spans="1:6" ht="30" x14ac:dyDescent="0.25">
      <c r="A28" s="19" t="s">
        <v>44</v>
      </c>
      <c r="B28" s="23">
        <f>[1]Munka1!$C$65/1000+[1]Munka1!$C$46/1000+[1]Munka1!$C$45/1000+[1]Munka1!$C$44/1000</f>
        <v>498119.36599999998</v>
      </c>
      <c r="C28" s="23">
        <v>517087</v>
      </c>
      <c r="D28" s="132">
        <v>536309</v>
      </c>
      <c r="E28" s="132">
        <f>539296+2784</f>
        <v>542080</v>
      </c>
      <c r="F28" s="22" t="s">
        <v>218</v>
      </c>
    </row>
    <row r="29" spans="1:6" ht="15.75" x14ac:dyDescent="0.25">
      <c r="A29" s="19" t="s">
        <v>46</v>
      </c>
      <c r="B29" s="23">
        <f>[1]Munka1!$C$47/1000</f>
        <v>321246.49599999998</v>
      </c>
      <c r="C29" s="23">
        <v>340582</v>
      </c>
      <c r="D29" s="132">
        <v>366310</v>
      </c>
      <c r="E29" s="132">
        <v>371122</v>
      </c>
      <c r="F29" s="21"/>
    </row>
    <row r="30" spans="1:6" ht="15.75" x14ac:dyDescent="0.25">
      <c r="A30" s="19" t="s">
        <v>71</v>
      </c>
      <c r="B30" s="23">
        <v>0</v>
      </c>
      <c r="C30" s="23">
        <v>0</v>
      </c>
      <c r="D30" s="23">
        <v>0</v>
      </c>
      <c r="E30" s="23">
        <v>0</v>
      </c>
      <c r="F30" s="21"/>
    </row>
    <row r="31" spans="1:6" ht="15.75" x14ac:dyDescent="0.25">
      <c r="A31" s="19" t="s">
        <v>47</v>
      </c>
      <c r="B31" s="23">
        <v>0</v>
      </c>
      <c r="C31" s="23">
        <v>0</v>
      </c>
      <c r="D31" s="23">
        <v>0</v>
      </c>
      <c r="E31" s="23">
        <v>0</v>
      </c>
      <c r="F31" s="21" t="s">
        <v>48</v>
      </c>
    </row>
    <row r="32" spans="1:6" ht="15.75" x14ac:dyDescent="0.25">
      <c r="A32" s="24" t="s">
        <v>49</v>
      </c>
      <c r="B32" s="25">
        <f>SUM(B24+B25+B26+B28+B30+B31)</f>
        <v>498119.36599999998</v>
      </c>
      <c r="C32" s="25">
        <f>SUM(C24+C25+C26+C28+C30+C31)</f>
        <v>527667</v>
      </c>
      <c r="D32" s="25">
        <f>D24+D25+D26+D28+D30+D31</f>
        <v>546889</v>
      </c>
      <c r="E32" s="25">
        <f>E24+E25+E26+E28+E30+E31</f>
        <v>553757</v>
      </c>
      <c r="F32" s="21"/>
    </row>
    <row r="33" spans="1:6" ht="15.75" x14ac:dyDescent="0.25">
      <c r="A33" s="19" t="s">
        <v>172</v>
      </c>
      <c r="B33" s="20">
        <v>0</v>
      </c>
      <c r="C33" s="20">
        <v>3258</v>
      </c>
      <c r="D33" s="20">
        <v>3258</v>
      </c>
      <c r="E33" s="20">
        <v>3258</v>
      </c>
      <c r="F33" s="21" t="s">
        <v>197</v>
      </c>
    </row>
    <row r="34" spans="1:6" ht="15.75" x14ac:dyDescent="0.25">
      <c r="A34" s="33" t="s">
        <v>51</v>
      </c>
      <c r="B34" s="27">
        <f>B32+B33</f>
        <v>498119.36599999998</v>
      </c>
      <c r="C34" s="27">
        <f>C32+C33</f>
        <v>530925</v>
      </c>
      <c r="D34" s="27">
        <f>SUM(D32:D33)</f>
        <v>550147</v>
      </c>
      <c r="E34" s="27">
        <f>SUM(E32:E33)</f>
        <v>557015</v>
      </c>
      <c r="F34" s="21"/>
    </row>
    <row r="36" spans="1:6" x14ac:dyDescent="0.25">
      <c r="A36"/>
    </row>
    <row r="37" spans="1:6" x14ac:dyDescent="0.25">
      <c r="A37"/>
    </row>
    <row r="38" spans="1:6" x14ac:dyDescent="0.25">
      <c r="A38"/>
    </row>
    <row r="40" spans="1:6" x14ac:dyDescent="0.25">
      <c r="A40" s="134" t="s">
        <v>211</v>
      </c>
    </row>
  </sheetData>
  <mergeCells count="6">
    <mergeCell ref="A9:C9"/>
    <mergeCell ref="B1:C1"/>
    <mergeCell ref="A3:C3"/>
    <mergeCell ref="A4:C4"/>
    <mergeCell ref="A5:C5"/>
    <mergeCell ref="A6:C6"/>
  </mergeCells>
  <phoneticPr fontId="20" type="noConversion"/>
  <pageMargins left="0.70000000000000007" right="0.70000000000000007" top="1.1437007874015752" bottom="1.1437007874015752" header="0.75000000000000011" footer="0.75000000000000011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4"/>
  <sheetViews>
    <sheetView topLeftCell="A12" workbookViewId="0">
      <selection activeCell="G20" sqref="G20"/>
    </sheetView>
  </sheetViews>
  <sheetFormatPr defaultColWidth="9.375" defaultRowHeight="15" x14ac:dyDescent="0.25"/>
  <cols>
    <col min="1" max="1" width="31.5" style="1" customWidth="1"/>
    <col min="2" max="2" width="15.75" style="1" customWidth="1"/>
    <col min="3" max="3" width="14.25" style="1" customWidth="1"/>
    <col min="4" max="4" width="15.25" style="1" customWidth="1"/>
    <col min="5" max="5" width="18.75" style="1" customWidth="1"/>
    <col min="6" max="6" width="14.625" style="1" customWidth="1"/>
    <col min="7" max="7" width="20.875" style="1" customWidth="1"/>
    <col min="8" max="8" width="15.125" style="1" customWidth="1"/>
    <col min="9" max="9" width="13.25" style="1" customWidth="1"/>
    <col min="10" max="16384" width="9.375" style="1"/>
  </cols>
  <sheetData>
    <row r="1" spans="1:8" x14ac:dyDescent="0.25">
      <c r="B1" s="145"/>
      <c r="C1" s="145"/>
      <c r="F1" s="2"/>
      <c r="G1" s="2" t="s">
        <v>79</v>
      </c>
    </row>
    <row r="2" spans="1:8" x14ac:dyDescent="0.25">
      <c r="A2" s="143" t="s">
        <v>1</v>
      </c>
      <c r="B2" s="143"/>
      <c r="C2" s="143"/>
      <c r="D2" s="143"/>
      <c r="E2" s="143"/>
      <c r="F2" s="143"/>
      <c r="G2" s="143"/>
      <c r="H2" s="143"/>
    </row>
    <row r="3" spans="1:8" x14ac:dyDescent="0.25">
      <c r="A3" s="143" t="s">
        <v>192</v>
      </c>
      <c r="B3" s="143"/>
      <c r="C3" s="143"/>
      <c r="D3" s="143"/>
      <c r="E3" s="143"/>
      <c r="F3" s="143"/>
      <c r="G3" s="143"/>
      <c r="H3" s="14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143" t="s">
        <v>186</v>
      </c>
      <c r="B5" s="143"/>
      <c r="C5" s="143"/>
      <c r="D5" s="143"/>
      <c r="E5" s="143"/>
      <c r="F5" s="143"/>
      <c r="G5" s="143"/>
      <c r="H5" s="143"/>
    </row>
    <row r="6" spans="1:8" x14ac:dyDescent="0.25">
      <c r="A6" s="143" t="s">
        <v>219</v>
      </c>
      <c r="B6" s="143"/>
      <c r="C6" s="143"/>
      <c r="D6" s="143"/>
      <c r="E6" s="143"/>
      <c r="F6" s="143"/>
      <c r="G6" s="143"/>
      <c r="H6" s="143"/>
    </row>
    <row r="7" spans="1:8" x14ac:dyDescent="0.25">
      <c r="A7" s="143" t="s">
        <v>14</v>
      </c>
      <c r="B7" s="143"/>
      <c r="C7" s="143"/>
      <c r="D7" s="143"/>
      <c r="E7" s="143"/>
      <c r="F7" s="143"/>
      <c r="G7" s="143"/>
      <c r="H7" s="143"/>
    </row>
    <row r="8" spans="1:8" x14ac:dyDescent="0.25">
      <c r="A8" s="2" t="s">
        <v>92</v>
      </c>
    </row>
    <row r="9" spans="1:8" x14ac:dyDescent="0.25">
      <c r="A9" s="2"/>
    </row>
    <row r="10" spans="1:8" ht="30" x14ac:dyDescent="0.25">
      <c r="A10" s="2" t="s">
        <v>80</v>
      </c>
      <c r="B10" s="47" t="s">
        <v>21</v>
      </c>
      <c r="C10" s="2" t="s">
        <v>81</v>
      </c>
      <c r="D10" s="2" t="s">
        <v>82</v>
      </c>
      <c r="E10" s="47" t="s">
        <v>83</v>
      </c>
      <c r="F10" s="2" t="s">
        <v>84</v>
      </c>
      <c r="G10" s="47" t="s">
        <v>85</v>
      </c>
      <c r="H10" s="2" t="s">
        <v>73</v>
      </c>
    </row>
    <row r="11" spans="1:8" ht="30" x14ac:dyDescent="0.25">
      <c r="A11" s="22" t="s">
        <v>10</v>
      </c>
      <c r="B11" s="48">
        <f>'2B'!F12</f>
        <v>310168</v>
      </c>
      <c r="C11" s="48">
        <f>'2B'!F13</f>
        <v>78396</v>
      </c>
      <c r="D11" s="48">
        <f>'2B'!F14</f>
        <v>187802</v>
      </c>
      <c r="E11" s="48">
        <f>'2B'!F15</f>
        <v>850</v>
      </c>
      <c r="F11" s="48">
        <v>0</v>
      </c>
      <c r="G11" s="48">
        <f>'2B'!F16</f>
        <v>344</v>
      </c>
      <c r="H11" s="48">
        <f>SUM(B11:G11)</f>
        <v>577560</v>
      </c>
    </row>
    <row r="12" spans="1:8" ht="30" x14ac:dyDescent="0.25">
      <c r="A12" s="22" t="s">
        <v>70</v>
      </c>
      <c r="B12" s="48">
        <f>'2C'!E12</f>
        <v>109252</v>
      </c>
      <c r="C12" s="48">
        <f>'2C'!E13</f>
        <v>27402</v>
      </c>
      <c r="D12" s="48">
        <f>'2C'!E14</f>
        <v>20220</v>
      </c>
      <c r="E12" s="48">
        <f>'2C'!E15</f>
        <v>420</v>
      </c>
      <c r="F12" s="48">
        <v>0</v>
      </c>
      <c r="G12" s="48">
        <f>'2C'!E16</f>
        <v>168</v>
      </c>
      <c r="H12" s="48">
        <f>SUM(B12:G12)</f>
        <v>157462</v>
      </c>
    </row>
    <row r="13" spans="1:8" ht="15.75" x14ac:dyDescent="0.25">
      <c r="A13" s="22" t="s">
        <v>8</v>
      </c>
      <c r="B13" s="48">
        <f>'2D'!E12</f>
        <v>1000</v>
      </c>
      <c r="C13" s="48">
        <f>'2D'!E13</f>
        <v>512</v>
      </c>
      <c r="D13" s="48">
        <f>'2D'!E14</f>
        <v>21817</v>
      </c>
      <c r="E13" s="48">
        <v>0</v>
      </c>
      <c r="F13" s="48">
        <f>'2D'!E21</f>
        <v>16602</v>
      </c>
      <c r="G13" s="48">
        <f>'2D'!E15</f>
        <v>9704</v>
      </c>
      <c r="H13" s="48">
        <f>SUM(B13:G13)</f>
        <v>49635</v>
      </c>
    </row>
    <row r="14" spans="1:8" x14ac:dyDescent="0.25">
      <c r="A14" s="49" t="s">
        <v>86</v>
      </c>
      <c r="B14" s="50">
        <f t="shared" ref="B14:H14" si="0">SUM(B11:B13)</f>
        <v>420420</v>
      </c>
      <c r="C14" s="50">
        <f t="shared" si="0"/>
        <v>106310</v>
      </c>
      <c r="D14" s="50">
        <f t="shared" si="0"/>
        <v>229839</v>
      </c>
      <c r="E14" s="50">
        <f t="shared" si="0"/>
        <v>1270</v>
      </c>
      <c r="F14" s="50">
        <f t="shared" si="0"/>
        <v>16602</v>
      </c>
      <c r="G14" s="50">
        <f t="shared" si="0"/>
        <v>10216</v>
      </c>
      <c r="H14" s="50">
        <f t="shared" si="0"/>
        <v>784657</v>
      </c>
    </row>
    <row r="15" spans="1:8" ht="15.75" x14ac:dyDescent="0.25">
      <c r="A15" s="47"/>
      <c r="B15" s="55"/>
      <c r="C15" s="55"/>
      <c r="D15" s="55"/>
      <c r="E15" s="55"/>
      <c r="F15" s="55"/>
      <c r="G15" s="55"/>
      <c r="H15" s="56"/>
    </row>
    <row r="16" spans="1:8" x14ac:dyDescent="0.25">
      <c r="A16" s="2" t="s">
        <v>93</v>
      </c>
    </row>
    <row r="18" spans="1:256" ht="30" x14ac:dyDescent="0.25">
      <c r="A18" s="2" t="s">
        <v>80</v>
      </c>
      <c r="B18" s="47" t="s">
        <v>87</v>
      </c>
      <c r="C18" s="47" t="s">
        <v>61</v>
      </c>
      <c r="D18" s="2" t="s">
        <v>88</v>
      </c>
      <c r="E18" s="47" t="s">
        <v>89</v>
      </c>
      <c r="F18" s="47" t="s">
        <v>90</v>
      </c>
      <c r="G18" s="47" t="s">
        <v>91</v>
      </c>
      <c r="H18" s="47" t="s">
        <v>172</v>
      </c>
      <c r="I18" s="47" t="s">
        <v>73</v>
      </c>
    </row>
    <row r="19" spans="1:256" ht="30" x14ac:dyDescent="0.25">
      <c r="A19" s="51" t="s">
        <v>10</v>
      </c>
      <c r="B19" s="48">
        <f>'2B'!F23</f>
        <v>197930</v>
      </c>
      <c r="C19" s="52">
        <v>265259</v>
      </c>
      <c r="D19" s="52">
        <f>72513-2838</f>
        <v>69675</v>
      </c>
      <c r="E19" s="48">
        <f>10622+150+400</f>
        <v>11172</v>
      </c>
      <c r="F19" s="52">
        <v>12615</v>
      </c>
      <c r="G19" s="52">
        <f>'2B'!F26+'2B'!F28-'3'!C19-'3'!D19-'3'!E19-'3'!F19-5332</f>
        <v>20909</v>
      </c>
      <c r="H19" s="52">
        <f>'2B'!F31-837</f>
        <v>0</v>
      </c>
      <c r="I19" s="48">
        <f>SUM(B19:G19)</f>
        <v>577560</v>
      </c>
    </row>
    <row r="20" spans="1:256" ht="30" x14ac:dyDescent="0.25">
      <c r="A20" s="51" t="s">
        <v>70</v>
      </c>
      <c r="B20" s="48">
        <f>'2C'!E21</f>
        <v>1825</v>
      </c>
      <c r="C20" s="52">
        <v>90324</v>
      </c>
      <c r="D20" s="52">
        <f>42261-1936</f>
        <v>40325</v>
      </c>
      <c r="E20" s="52">
        <f>2250+2014</f>
        <v>4264</v>
      </c>
      <c r="F20" s="52">
        <v>0</v>
      </c>
      <c r="G20" s="48">
        <f>'2C'!E24+'2C'!E26-'3'!C20-'3'!D20-'3'!E20-'3'!F20-4586-1936</f>
        <v>20724</v>
      </c>
      <c r="H20" s="48">
        <f>'2C'!E29-415</f>
        <v>0</v>
      </c>
      <c r="I20" s="48">
        <f>SUM(B20:H20)</f>
        <v>157462</v>
      </c>
    </row>
    <row r="21" spans="1:256" ht="15.75" x14ac:dyDescent="0.25">
      <c r="A21" s="22" t="s">
        <v>8</v>
      </c>
      <c r="B21" s="48">
        <f>'2D'!E24</f>
        <v>11677</v>
      </c>
      <c r="C21" s="48">
        <v>0</v>
      </c>
      <c r="D21" s="48">
        <v>0</v>
      </c>
      <c r="E21" s="48">
        <f>34626+74+1827</f>
        <v>36527</v>
      </c>
      <c r="F21" s="48">
        <v>0</v>
      </c>
      <c r="G21" s="48">
        <v>0</v>
      </c>
      <c r="H21" s="48">
        <f>'2D'!E33-1827</f>
        <v>1431</v>
      </c>
      <c r="I21" s="48">
        <f>SUM(B21:H21)</f>
        <v>49635</v>
      </c>
    </row>
    <row r="22" spans="1:256" ht="15.75" x14ac:dyDescent="0.25">
      <c r="A22" s="53" t="s">
        <v>86</v>
      </c>
      <c r="B22" s="54">
        <f t="shared" ref="B22:I22" si="1">SUM(B19:B21)</f>
        <v>211432</v>
      </c>
      <c r="C22" s="54">
        <f t="shared" si="1"/>
        <v>355583</v>
      </c>
      <c r="D22" s="54">
        <f t="shared" si="1"/>
        <v>110000</v>
      </c>
      <c r="E22" s="54">
        <f t="shared" si="1"/>
        <v>51963</v>
      </c>
      <c r="F22" s="54">
        <f t="shared" si="1"/>
        <v>12615</v>
      </c>
      <c r="G22" s="54">
        <f t="shared" si="1"/>
        <v>41633</v>
      </c>
      <c r="H22" s="54"/>
      <c r="I22" s="54">
        <f t="shared" si="1"/>
        <v>784657</v>
      </c>
    </row>
    <row r="23" spans="1:256" s="89" customFormat="1" ht="15.75" x14ac:dyDescent="0.25">
      <c r="A23" s="47"/>
      <c r="B23" s="88"/>
      <c r="C23" s="88"/>
      <c r="D23" s="88"/>
      <c r="E23" s="88"/>
      <c r="F23" s="88"/>
      <c r="G23" s="88"/>
      <c r="H23" s="88"/>
      <c r="I23" s="88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</row>
    <row r="24" spans="1:256" s="89" customFormat="1" ht="15.75" x14ac:dyDescent="0.25">
      <c r="A24" s="47" t="s">
        <v>131</v>
      </c>
      <c r="B24" s="88"/>
      <c r="C24" s="88"/>
      <c r="D24" s="88"/>
      <c r="E24" s="88" t="s">
        <v>132</v>
      </c>
      <c r="F24" s="88"/>
      <c r="G24" s="88"/>
      <c r="H24" s="88"/>
      <c r="I24" s="88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</row>
    <row r="25" spans="1:256" s="89" customFormat="1" ht="30" x14ac:dyDescent="0.25">
      <c r="A25" s="2" t="s">
        <v>80</v>
      </c>
      <c r="B25" s="47" t="s">
        <v>29</v>
      </c>
      <c r="C25" s="2" t="s">
        <v>73</v>
      </c>
      <c r="D25" s="88"/>
      <c r="E25" s="2" t="s">
        <v>80</v>
      </c>
      <c r="F25" s="47" t="s">
        <v>172</v>
      </c>
      <c r="G25" s="47" t="s">
        <v>91</v>
      </c>
      <c r="H25" s="47" t="s">
        <v>88</v>
      </c>
      <c r="I25" s="47" t="s">
        <v>73</v>
      </c>
      <c r="J25" s="88"/>
      <c r="K25" s="88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</row>
    <row r="26" spans="1:256" s="89" customFormat="1" ht="30" x14ac:dyDescent="0.25">
      <c r="A26" s="22" t="s">
        <v>10</v>
      </c>
      <c r="B26" s="48">
        <f>'2B'!F17</f>
        <v>6169</v>
      </c>
      <c r="C26" s="48">
        <f>B26</f>
        <v>6169</v>
      </c>
      <c r="D26" s="88"/>
      <c r="E26" s="51" t="s">
        <v>10</v>
      </c>
      <c r="F26" s="48">
        <v>837</v>
      </c>
      <c r="G26" s="48">
        <v>2494</v>
      </c>
      <c r="H26" s="48">
        <v>2838</v>
      </c>
      <c r="I26" s="48">
        <f>SUM(F26:H26)</f>
        <v>6169</v>
      </c>
      <c r="J26" s="88"/>
      <c r="K26" s="88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</row>
    <row r="27" spans="1:256" s="89" customFormat="1" ht="60" x14ac:dyDescent="0.25">
      <c r="A27" s="22" t="s">
        <v>70</v>
      </c>
      <c r="B27" s="48">
        <f>'2C'!E17</f>
        <v>6937</v>
      </c>
      <c r="C27" s="48">
        <f>B27</f>
        <v>6937</v>
      </c>
      <c r="D27" s="88"/>
      <c r="E27" s="51" t="s">
        <v>70</v>
      </c>
      <c r="F27" s="48">
        <v>415</v>
      </c>
      <c r="G27" s="48">
        <v>4586</v>
      </c>
      <c r="H27" s="48">
        <v>1936</v>
      </c>
      <c r="I27" s="48">
        <f>SUM(F27:H27)</f>
        <v>6937</v>
      </c>
      <c r="J27" s="88"/>
      <c r="K27" s="88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</row>
    <row r="28" spans="1:256" s="89" customFormat="1" ht="30" x14ac:dyDescent="0.25">
      <c r="A28" s="22" t="s">
        <v>8</v>
      </c>
      <c r="B28" s="48">
        <f>'2D'!E16</f>
        <v>1827</v>
      </c>
      <c r="C28" s="48">
        <f>B28</f>
        <v>1827</v>
      </c>
      <c r="D28" s="88"/>
      <c r="E28" s="22" t="s">
        <v>8</v>
      </c>
      <c r="F28" s="48">
        <v>1827</v>
      </c>
      <c r="G28" s="48">
        <v>0</v>
      </c>
      <c r="H28" s="48">
        <v>0</v>
      </c>
      <c r="I28" s="48">
        <f>SUM(F28:H28)</f>
        <v>1827</v>
      </c>
      <c r="J28" s="88"/>
      <c r="K28" s="88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</row>
    <row r="29" spans="1:256" s="89" customFormat="1" ht="15.75" x14ac:dyDescent="0.25">
      <c r="A29" s="49" t="s">
        <v>86</v>
      </c>
      <c r="B29" s="50">
        <f>SUM(B26:B28)</f>
        <v>14933</v>
      </c>
      <c r="C29" s="50">
        <f>SUM(C26:C28)</f>
        <v>14933</v>
      </c>
      <c r="D29" s="88"/>
      <c r="E29" s="53" t="s">
        <v>86</v>
      </c>
      <c r="F29" s="54">
        <f>SUM(F26:F28)</f>
        <v>3079</v>
      </c>
      <c r="G29" s="54">
        <f>SUM(G26:G28)</f>
        <v>7080</v>
      </c>
      <c r="H29" s="54">
        <f>SUM(H26:H28)</f>
        <v>4774</v>
      </c>
      <c r="I29" s="54">
        <f>SUM(I26:I28)</f>
        <v>14933</v>
      </c>
      <c r="J29" s="88"/>
      <c r="K29" s="88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</row>
    <row r="30" spans="1:256" s="89" customFormat="1" ht="15.75" x14ac:dyDescent="0.25">
      <c r="A30" s="47"/>
      <c r="B30" s="88"/>
      <c r="C30" s="88"/>
      <c r="D30" s="88"/>
      <c r="E30" s="88"/>
      <c r="F30" s="88"/>
      <c r="G30" s="88"/>
      <c r="H30" s="88"/>
      <c r="I30" s="88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</row>
    <row r="34" spans="1:1" x14ac:dyDescent="0.25">
      <c r="A34" s="134" t="s">
        <v>211</v>
      </c>
    </row>
  </sheetData>
  <mergeCells count="6">
    <mergeCell ref="A7:H7"/>
    <mergeCell ref="B1:C1"/>
    <mergeCell ref="A2:H2"/>
    <mergeCell ref="A3:H3"/>
    <mergeCell ref="A5:H5"/>
    <mergeCell ref="A6:H6"/>
  </mergeCells>
  <phoneticPr fontId="20" type="noConversion"/>
  <pageMargins left="0.89015748031496089" right="0.32007874015748011" top="0.74370078740157508" bottom="1.1417322834645671" header="0.35000000000000003" footer="0.74803149606299213"/>
  <pageSetup paperSize="9" scale="6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A13" workbookViewId="0">
      <selection activeCell="A33" sqref="A33"/>
    </sheetView>
  </sheetViews>
  <sheetFormatPr defaultColWidth="8.75" defaultRowHeight="15" x14ac:dyDescent="0.25"/>
  <cols>
    <col min="1" max="1" width="33.5" style="1" customWidth="1"/>
    <col min="2" max="3" width="13" style="1" customWidth="1"/>
    <col min="4" max="4" width="17" style="1" customWidth="1"/>
    <col min="5" max="16384" width="8.75" style="1"/>
  </cols>
  <sheetData>
    <row r="1" spans="1:7" ht="15.75" x14ac:dyDescent="0.25">
      <c r="A1" s="57"/>
    </row>
    <row r="2" spans="1:7" ht="15.75" x14ac:dyDescent="0.25">
      <c r="A2" s="58"/>
    </row>
    <row r="3" spans="1:7" ht="15.75" x14ac:dyDescent="0.25">
      <c r="A3" s="142" t="s">
        <v>8</v>
      </c>
      <c r="B3" s="142"/>
      <c r="C3" s="142"/>
      <c r="D3" s="142"/>
    </row>
    <row r="4" spans="1:7" ht="15.75" x14ac:dyDescent="0.25">
      <c r="A4" s="142" t="s">
        <v>98</v>
      </c>
      <c r="B4" s="142"/>
      <c r="C4" s="142"/>
      <c r="D4" s="142"/>
    </row>
    <row r="5" spans="1:7" ht="15.75" x14ac:dyDescent="0.25">
      <c r="A5" s="142" t="s">
        <v>168</v>
      </c>
      <c r="B5" s="142"/>
      <c r="C5" s="142"/>
      <c r="D5" s="142"/>
      <c r="G5"/>
    </row>
    <row r="6" spans="1:7" ht="15.75" x14ac:dyDescent="0.25">
      <c r="A6" s="59"/>
      <c r="G6"/>
    </row>
    <row r="7" spans="1:7" ht="15.75" customHeight="1" x14ac:dyDescent="0.25">
      <c r="A7" s="149" t="s">
        <v>99</v>
      </c>
      <c r="B7" s="149"/>
      <c r="C7" s="149"/>
      <c r="D7" s="149"/>
    </row>
    <row r="8" spans="1:7" x14ac:dyDescent="0.25">
      <c r="A8" s="60"/>
      <c r="G8"/>
    </row>
    <row r="9" spans="1:7" ht="16.5" thickBot="1" x14ac:dyDescent="0.3">
      <c r="B9" s="61" t="s">
        <v>100</v>
      </c>
      <c r="C9" s="109"/>
      <c r="D9" s="4"/>
    </row>
    <row r="10" spans="1:7" ht="33" customHeight="1" thickTop="1" x14ac:dyDescent="0.25">
      <c r="A10" s="62" t="s">
        <v>6</v>
      </c>
      <c r="B10" s="63" t="s">
        <v>169</v>
      </c>
      <c r="C10" s="63" t="s">
        <v>220</v>
      </c>
      <c r="D10" s="62" t="s">
        <v>101</v>
      </c>
    </row>
    <row r="11" spans="1:7" ht="15.75" x14ac:dyDescent="0.25">
      <c r="A11" s="64" t="s">
        <v>102</v>
      </c>
      <c r="B11" s="65" t="s">
        <v>103</v>
      </c>
      <c r="C11" s="65" t="s">
        <v>103</v>
      </c>
      <c r="D11" s="66"/>
    </row>
    <row r="12" spans="1:7" ht="16.5" customHeight="1" thickBot="1" x14ac:dyDescent="0.3">
      <c r="A12" s="67"/>
      <c r="B12" s="68" t="s">
        <v>104</v>
      </c>
      <c r="C12" s="68" t="s">
        <v>104</v>
      </c>
      <c r="D12" s="66"/>
    </row>
    <row r="13" spans="1:7" ht="47.25" customHeight="1" thickTop="1" x14ac:dyDescent="0.25">
      <c r="A13" s="69" t="s">
        <v>70</v>
      </c>
      <c r="B13" s="70">
        <f>SUM(B14:B16)</f>
        <v>43</v>
      </c>
      <c r="C13" s="70">
        <f>SUM(C14:C16)</f>
        <v>43</v>
      </c>
      <c r="D13" s="71">
        <v>0</v>
      </c>
    </row>
    <row r="14" spans="1:7" ht="19.5" customHeight="1" x14ac:dyDescent="0.25">
      <c r="A14" s="72" t="s">
        <v>105</v>
      </c>
      <c r="B14" s="73">
        <v>8</v>
      </c>
      <c r="C14" s="73">
        <v>8</v>
      </c>
      <c r="D14" s="74">
        <v>0</v>
      </c>
    </row>
    <row r="15" spans="1:7" ht="21.75" customHeight="1" x14ac:dyDescent="0.25">
      <c r="A15" s="72" t="s">
        <v>106</v>
      </c>
      <c r="B15" s="73">
        <v>16</v>
      </c>
      <c r="C15" s="73">
        <v>16</v>
      </c>
      <c r="D15" s="74">
        <v>0</v>
      </c>
    </row>
    <row r="16" spans="1:7" ht="19.5" customHeight="1" x14ac:dyDescent="0.25">
      <c r="A16" s="72" t="s">
        <v>107</v>
      </c>
      <c r="B16" s="73">
        <v>19</v>
      </c>
      <c r="C16" s="73">
        <v>19</v>
      </c>
      <c r="D16" s="74">
        <v>0</v>
      </c>
    </row>
    <row r="17" spans="1:4" ht="37.5" customHeight="1" x14ac:dyDescent="0.25">
      <c r="A17" s="69" t="s">
        <v>97</v>
      </c>
      <c r="B17" s="70">
        <f>SUM(B18:B28)</f>
        <v>134</v>
      </c>
      <c r="C17" s="70">
        <f>SUM(C18:C28)</f>
        <v>135</v>
      </c>
      <c r="D17" s="71">
        <f>SUM(D18:D28)</f>
        <v>0</v>
      </c>
    </row>
    <row r="18" spans="1:4" ht="33.75" customHeight="1" x14ac:dyDescent="0.25">
      <c r="A18" s="72" t="s">
        <v>108</v>
      </c>
      <c r="B18" s="73">
        <v>42</v>
      </c>
      <c r="C18" s="73">
        <f>42+1</f>
        <v>43</v>
      </c>
      <c r="D18" s="74">
        <v>0</v>
      </c>
    </row>
    <row r="19" spans="1:4" ht="21" customHeight="1" x14ac:dyDescent="0.25">
      <c r="A19" s="72" t="s">
        <v>109</v>
      </c>
      <c r="B19" s="73">
        <v>28</v>
      </c>
      <c r="C19" s="73">
        <v>28</v>
      </c>
      <c r="D19" s="74">
        <v>0</v>
      </c>
    </row>
    <row r="20" spans="1:4" ht="19.5" customHeight="1" x14ac:dyDescent="0.25">
      <c r="A20" s="72" t="s">
        <v>110</v>
      </c>
      <c r="B20" s="73"/>
      <c r="C20" s="73"/>
      <c r="D20" s="74">
        <v>0</v>
      </c>
    </row>
    <row r="21" spans="1:4" ht="18" customHeight="1" x14ac:dyDescent="0.25">
      <c r="A21" s="72" t="s">
        <v>111</v>
      </c>
      <c r="B21" s="73">
        <v>6</v>
      </c>
      <c r="C21" s="73">
        <v>6</v>
      </c>
      <c r="D21" s="74">
        <v>0</v>
      </c>
    </row>
    <row r="22" spans="1:4" ht="18" customHeight="1" x14ac:dyDescent="0.25">
      <c r="A22" s="72" t="s">
        <v>112</v>
      </c>
      <c r="B22" s="73">
        <v>16</v>
      </c>
      <c r="C22" s="73">
        <v>16</v>
      </c>
      <c r="D22" s="74">
        <v>0</v>
      </c>
    </row>
    <row r="23" spans="1:4" ht="16.5" customHeight="1" x14ac:dyDescent="0.25">
      <c r="A23" s="72" t="s">
        <v>113</v>
      </c>
      <c r="B23" s="73">
        <v>7</v>
      </c>
      <c r="C23" s="73">
        <v>7</v>
      </c>
      <c r="D23" s="74">
        <v>0</v>
      </c>
    </row>
    <row r="24" spans="1:4" ht="18.75" customHeight="1" x14ac:dyDescent="0.25">
      <c r="A24" s="72" t="s">
        <v>114</v>
      </c>
      <c r="B24" s="73">
        <v>2</v>
      </c>
      <c r="C24" s="73">
        <v>2</v>
      </c>
      <c r="D24" s="74">
        <v>0</v>
      </c>
    </row>
    <row r="25" spans="1:4" ht="18" customHeight="1" x14ac:dyDescent="0.25">
      <c r="A25" s="72" t="s">
        <v>115</v>
      </c>
      <c r="B25" s="73">
        <v>4</v>
      </c>
      <c r="C25" s="73">
        <v>4</v>
      </c>
      <c r="D25" s="74">
        <v>0</v>
      </c>
    </row>
    <row r="26" spans="1:4" ht="18.75" customHeight="1" x14ac:dyDescent="0.25">
      <c r="A26" s="72" t="s">
        <v>116</v>
      </c>
      <c r="B26" s="73">
        <v>24</v>
      </c>
      <c r="C26" s="73">
        <v>24</v>
      </c>
      <c r="D26" s="74">
        <v>0</v>
      </c>
    </row>
    <row r="27" spans="1:4" ht="18" customHeight="1" x14ac:dyDescent="0.25">
      <c r="A27" s="72" t="s">
        <v>117</v>
      </c>
      <c r="B27" s="73">
        <v>1</v>
      </c>
      <c r="C27" s="73">
        <v>1</v>
      </c>
      <c r="D27" s="74">
        <v>0</v>
      </c>
    </row>
    <row r="28" spans="1:4" ht="17.25" customHeight="1" x14ac:dyDescent="0.25">
      <c r="A28" s="72" t="s">
        <v>118</v>
      </c>
      <c r="B28" s="110">
        <v>4</v>
      </c>
      <c r="C28" s="110">
        <v>4</v>
      </c>
      <c r="D28" s="75">
        <v>0</v>
      </c>
    </row>
    <row r="29" spans="1:4" ht="17.25" customHeight="1" x14ac:dyDescent="0.25">
      <c r="A29" s="69" t="s">
        <v>8</v>
      </c>
      <c r="B29" s="111">
        <v>0</v>
      </c>
      <c r="C29" s="111">
        <v>0</v>
      </c>
      <c r="D29" s="76">
        <v>0</v>
      </c>
    </row>
    <row r="30" spans="1:4" ht="17.25" customHeight="1" x14ac:dyDescent="0.25">
      <c r="A30" s="22" t="s">
        <v>95</v>
      </c>
      <c r="B30" s="110">
        <v>0</v>
      </c>
      <c r="C30" s="110">
        <v>0</v>
      </c>
      <c r="D30" s="75">
        <v>0</v>
      </c>
    </row>
    <row r="31" spans="1:4" ht="21.75" customHeight="1" x14ac:dyDescent="0.25">
      <c r="A31" s="69" t="s">
        <v>96</v>
      </c>
      <c r="B31" s="70">
        <f>SUM(B13+B17+B29)</f>
        <v>177</v>
      </c>
      <c r="C31" s="70">
        <f>SUM(C13+C17+C29)</f>
        <v>178</v>
      </c>
      <c r="D31" s="71">
        <f>SUM(D13+D17+D29)</f>
        <v>0</v>
      </c>
    </row>
    <row r="33" spans="1:1" x14ac:dyDescent="0.25">
      <c r="A33" s="134" t="s">
        <v>211</v>
      </c>
    </row>
  </sheetData>
  <mergeCells count="4">
    <mergeCell ref="A3:D3"/>
    <mergeCell ref="A4:D4"/>
    <mergeCell ref="A5:D5"/>
    <mergeCell ref="A7:D7"/>
  </mergeCells>
  <phoneticPr fontId="20" type="noConversion"/>
  <pageMargins left="0.70000000000000007" right="0.70000000000000007" top="1.1437007874015752" bottom="1.1437007874015752" header="0.75000000000000011" footer="0.75000000000000011"/>
  <pageSetup paperSize="9" fitToWidth="0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40"/>
  <sheetViews>
    <sheetView topLeftCell="A26" workbookViewId="0">
      <selection activeCell="I24" sqref="I24"/>
    </sheetView>
  </sheetViews>
  <sheetFormatPr defaultColWidth="8.75" defaultRowHeight="15" x14ac:dyDescent="0.25"/>
  <cols>
    <col min="1" max="1" width="13.125" style="1" customWidth="1"/>
    <col min="2" max="2" width="33.625" style="1" customWidth="1"/>
    <col min="3" max="3" width="16.875" style="1" customWidth="1"/>
    <col min="4" max="4" width="13.875" style="1" customWidth="1"/>
    <col min="5" max="6" width="17.625" style="1" customWidth="1"/>
    <col min="7" max="7" width="13.5" style="1" bestFit="1" customWidth="1"/>
    <col min="8" max="8" width="13.5" style="1" customWidth="1"/>
    <col min="9" max="16384" width="8.75" style="1"/>
  </cols>
  <sheetData>
    <row r="1" spans="1:257" ht="15.75" x14ac:dyDescent="0.25">
      <c r="A1" s="91"/>
      <c r="B1" s="150" t="s">
        <v>185</v>
      </c>
      <c r="C1" s="150"/>
      <c r="D1" s="150"/>
      <c r="E1" s="150"/>
      <c r="F1" s="115"/>
    </row>
    <row r="2" spans="1:257" ht="15.75" x14ac:dyDescent="0.25">
      <c r="A2" s="153" t="s">
        <v>8</v>
      </c>
      <c r="B2" s="153"/>
      <c r="C2" s="153"/>
      <c r="D2" s="153"/>
      <c r="E2" s="153"/>
      <c r="F2" s="92"/>
    </row>
    <row r="3" spans="1:257" ht="15.75" x14ac:dyDescent="0.25">
      <c r="A3" s="92"/>
      <c r="B3" s="92"/>
      <c r="C3" s="92"/>
      <c r="D3" s="91"/>
      <c r="E3" s="91"/>
      <c r="F3" s="91"/>
    </row>
    <row r="4" spans="1:257" ht="15.75" x14ac:dyDescent="0.25">
      <c r="A4" s="153" t="s">
        <v>119</v>
      </c>
      <c r="B4" s="153"/>
      <c r="C4" s="153"/>
      <c r="D4" s="153"/>
      <c r="E4" s="153"/>
      <c r="F4" s="92"/>
    </row>
    <row r="5" spans="1:257" ht="15.75" x14ac:dyDescent="0.25">
      <c r="A5" s="91"/>
      <c r="B5" s="91"/>
      <c r="C5" s="91"/>
      <c r="D5" s="91"/>
      <c r="E5" s="91"/>
      <c r="F5" s="91"/>
    </row>
    <row r="6" spans="1:257" ht="15.75" x14ac:dyDescent="0.25">
      <c r="A6" s="151" t="s">
        <v>10</v>
      </c>
      <c r="B6" s="151"/>
      <c r="C6" s="151"/>
      <c r="D6" s="91"/>
      <c r="E6" s="91"/>
      <c r="F6" s="91"/>
    </row>
    <row r="7" spans="1:257" ht="15.75" x14ac:dyDescent="0.25">
      <c r="A7" s="58" t="s">
        <v>187</v>
      </c>
      <c r="B7" s="91"/>
      <c r="C7" s="91"/>
      <c r="D7" s="91"/>
      <c r="E7" s="91"/>
      <c r="F7" s="91"/>
    </row>
    <row r="8" spans="1:257" s="40" customFormat="1" ht="47.25" x14ac:dyDescent="0.25">
      <c r="A8" s="93" t="s">
        <v>94</v>
      </c>
      <c r="B8" s="94" t="s">
        <v>166</v>
      </c>
      <c r="C8" s="95" t="s">
        <v>152</v>
      </c>
      <c r="D8" s="58" t="s">
        <v>151</v>
      </c>
      <c r="E8" s="58" t="s">
        <v>150</v>
      </c>
      <c r="F8" s="122" t="s">
        <v>205</v>
      </c>
      <c r="G8" s="122" t="s">
        <v>206</v>
      </c>
      <c r="H8" s="122" t="s">
        <v>221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</row>
    <row r="9" spans="1:257" customFormat="1" ht="15.75" x14ac:dyDescent="0.25">
      <c r="A9" s="96" t="s">
        <v>133</v>
      </c>
      <c r="B9" s="97" t="s">
        <v>58</v>
      </c>
      <c r="C9" s="98">
        <v>60896</v>
      </c>
      <c r="D9" s="97">
        <v>426</v>
      </c>
      <c r="E9" s="120">
        <f>SUM(D9*C9)</f>
        <v>25941696</v>
      </c>
      <c r="F9" s="130">
        <v>25941696</v>
      </c>
      <c r="G9" s="130">
        <f>'2B'!E38</f>
        <v>25698112</v>
      </c>
      <c r="H9" s="130">
        <f>'2B'!F38</f>
        <v>25515424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</row>
    <row r="10" spans="1:257" customFormat="1" ht="15.75" x14ac:dyDescent="0.25">
      <c r="A10" s="96" t="s">
        <v>134</v>
      </c>
      <c r="B10" s="97" t="s">
        <v>59</v>
      </c>
      <c r="C10" s="98">
        <v>188500</v>
      </c>
      <c r="D10" s="99">
        <v>192</v>
      </c>
      <c r="E10" s="120">
        <f t="shared" ref="E10:E16" si="0">SUM(D10*C10)</f>
        <v>36192000</v>
      </c>
      <c r="F10" s="130">
        <v>36192000</v>
      </c>
      <c r="G10" s="130">
        <f>'2B'!E39</f>
        <v>35815000</v>
      </c>
      <c r="H10" s="130">
        <f>'2B'!F39</f>
        <v>35626500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</row>
    <row r="11" spans="1:257" customFormat="1" ht="15.75" x14ac:dyDescent="0.25">
      <c r="A11" s="96" t="s">
        <v>135</v>
      </c>
      <c r="B11" s="97" t="s">
        <v>136</v>
      </c>
      <c r="C11" s="98">
        <v>163500</v>
      </c>
      <c r="D11" s="97">
        <v>38</v>
      </c>
      <c r="E11" s="120">
        <f t="shared" si="0"/>
        <v>6213000</v>
      </c>
      <c r="F11" s="130">
        <v>6213000</v>
      </c>
      <c r="G11" s="130">
        <f>'2B'!E40</f>
        <v>6213000</v>
      </c>
      <c r="H11" s="130">
        <f>'2B'!F40</f>
        <v>6540000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</row>
    <row r="12" spans="1:257" customFormat="1" ht="15.75" x14ac:dyDescent="0.25">
      <c r="A12" s="96" t="s">
        <v>137</v>
      </c>
      <c r="B12" s="97" t="s">
        <v>138</v>
      </c>
      <c r="C12" s="98">
        <v>550000</v>
      </c>
      <c r="D12" s="99">
        <v>11</v>
      </c>
      <c r="E12" s="120">
        <f t="shared" si="0"/>
        <v>6050000</v>
      </c>
      <c r="F12" s="130">
        <v>6050000</v>
      </c>
      <c r="G12" s="130">
        <v>6050000</v>
      </c>
      <c r="H12" s="130">
        <v>6050000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</row>
    <row r="13" spans="1:257" customFormat="1" ht="15.75" x14ac:dyDescent="0.25">
      <c r="A13" s="96" t="s">
        <v>137</v>
      </c>
      <c r="B13" s="97" t="s">
        <v>139</v>
      </c>
      <c r="C13" s="98">
        <v>220000</v>
      </c>
      <c r="D13" s="97">
        <v>16</v>
      </c>
      <c r="E13" s="120">
        <f t="shared" si="0"/>
        <v>3520000</v>
      </c>
      <c r="F13" s="130">
        <v>3520000</v>
      </c>
      <c r="G13" s="130">
        <v>3520000</v>
      </c>
      <c r="H13" s="130">
        <v>3520000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</row>
    <row r="14" spans="1:257" customFormat="1" ht="15.75" x14ac:dyDescent="0.25">
      <c r="A14" s="96" t="s">
        <v>140</v>
      </c>
      <c r="B14" s="97" t="s">
        <v>141</v>
      </c>
      <c r="C14" s="99">
        <v>550000</v>
      </c>
      <c r="D14" s="97">
        <v>28</v>
      </c>
      <c r="E14" s="120">
        <f t="shared" si="0"/>
        <v>15400000</v>
      </c>
      <c r="F14" s="130">
        <v>15400000</v>
      </c>
      <c r="G14" s="130">
        <f>15400000-2090000</f>
        <v>13310000</v>
      </c>
      <c r="H14" s="130">
        <v>14300000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</row>
    <row r="15" spans="1:257" customFormat="1" ht="15.75" x14ac:dyDescent="0.25">
      <c r="A15" s="100" t="s">
        <v>142</v>
      </c>
      <c r="B15" s="101" t="s">
        <v>143</v>
      </c>
      <c r="C15" s="102">
        <v>247320</v>
      </c>
      <c r="D15" s="101">
        <v>36</v>
      </c>
      <c r="E15" s="120">
        <f t="shared" si="0"/>
        <v>8903520</v>
      </c>
      <c r="F15" s="130">
        <v>8903520</v>
      </c>
      <c r="G15" s="130">
        <v>8903520</v>
      </c>
      <c r="H15" s="130">
        <f>'2B'!F42</f>
        <v>8903520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</row>
    <row r="16" spans="1:257" customFormat="1" ht="15.75" x14ac:dyDescent="0.25">
      <c r="A16" s="100" t="s">
        <v>144</v>
      </c>
      <c r="B16" s="101" t="s">
        <v>145</v>
      </c>
      <c r="C16" s="102">
        <v>515185</v>
      </c>
      <c r="D16" s="101">
        <v>40</v>
      </c>
      <c r="E16" s="120">
        <f t="shared" si="0"/>
        <v>20607400</v>
      </c>
      <c r="F16" s="130">
        <v>20607400</v>
      </c>
      <c r="G16" s="130">
        <f>20607400+515185</f>
        <v>21122585</v>
      </c>
      <c r="H16" s="130">
        <f>'2B'!F43</f>
        <v>21122585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</row>
    <row r="17" spans="1:257" customFormat="1" ht="15.75" x14ac:dyDescent="0.25">
      <c r="A17" s="100" t="s">
        <v>146</v>
      </c>
      <c r="B17" s="101" t="s">
        <v>147</v>
      </c>
      <c r="C17" s="102">
        <v>2606040</v>
      </c>
      <c r="D17" s="101">
        <v>32</v>
      </c>
      <c r="E17" s="121">
        <v>83393280</v>
      </c>
      <c r="F17" s="130">
        <v>83393280</v>
      </c>
      <c r="G17" s="130">
        <v>83393280</v>
      </c>
      <c r="H17" s="130">
        <f>'2B'!F44</f>
        <v>88851216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</row>
    <row r="18" spans="1:257" customFormat="1" ht="15.75" x14ac:dyDescent="0.25">
      <c r="A18" s="97" t="s">
        <v>148</v>
      </c>
      <c r="B18" s="97" t="s">
        <v>149</v>
      </c>
      <c r="C18" s="99"/>
      <c r="D18" s="97"/>
      <c r="E18" s="120">
        <v>25725104</v>
      </c>
      <c r="F18" s="130">
        <v>25725104</v>
      </c>
      <c r="G18" s="130">
        <f>25725104+8701000</f>
        <v>34426104</v>
      </c>
      <c r="H18" s="130">
        <f>'2B'!F45</f>
        <v>36446429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</row>
    <row r="19" spans="1:257" customFormat="1" ht="15.75" x14ac:dyDescent="0.25">
      <c r="A19" s="97"/>
      <c r="B19" s="97" t="s">
        <v>176</v>
      </c>
      <c r="C19" s="99"/>
      <c r="D19" s="97"/>
      <c r="E19" s="99"/>
      <c r="F19" s="99">
        <v>5572953</v>
      </c>
      <c r="G19" s="99">
        <v>7021388</v>
      </c>
      <c r="H19" s="99">
        <f>'2B'!F49</f>
        <v>8795258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</row>
    <row r="20" spans="1:257" customFormat="1" ht="15.75" x14ac:dyDescent="0.25">
      <c r="A20" s="97"/>
      <c r="B20" s="97" t="s">
        <v>188</v>
      </c>
      <c r="C20" s="99"/>
      <c r="D20" s="97"/>
      <c r="E20" s="99"/>
      <c r="F20" s="99">
        <v>8130034</v>
      </c>
      <c r="G20" s="99">
        <v>9588225</v>
      </c>
      <c r="H20" s="99">
        <f>'2B'!F52+4376342</f>
        <v>13964567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</row>
    <row r="21" spans="1:257" customFormat="1" ht="15.75" x14ac:dyDescent="0.25">
      <c r="A21" s="93"/>
      <c r="B21" s="94" t="s">
        <v>73</v>
      </c>
      <c r="C21" s="95"/>
      <c r="D21" s="91"/>
      <c r="E21" s="106">
        <f>SUM(E9:E18)</f>
        <v>231946000</v>
      </c>
      <c r="F21" s="106">
        <f>SUM(F9:F20)</f>
        <v>245648987</v>
      </c>
      <c r="G21" s="106">
        <f>SUM(G9:G20)</f>
        <v>255061214</v>
      </c>
      <c r="H21" s="106">
        <f>SUM(H9:H20)</f>
        <v>269635499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</row>
    <row r="22" spans="1:257" x14ac:dyDescent="0.25">
      <c r="A22"/>
      <c r="B22" s="77"/>
      <c r="C22" s="78"/>
    </row>
    <row r="23" spans="1:257" ht="15.75" x14ac:dyDescent="0.25">
      <c r="A23" s="152" t="s">
        <v>70</v>
      </c>
      <c r="B23" s="152"/>
      <c r="C23" s="152"/>
      <c r="D23" s="91"/>
      <c r="E23" s="91"/>
      <c r="F23" s="91"/>
    </row>
    <row r="24" spans="1:257" customFormat="1" ht="47.25" x14ac:dyDescent="0.25">
      <c r="A24" s="93" t="s">
        <v>94</v>
      </c>
      <c r="B24" s="94" t="s">
        <v>166</v>
      </c>
      <c r="C24" s="95" t="s">
        <v>152</v>
      </c>
      <c r="D24" s="58" t="s">
        <v>151</v>
      </c>
      <c r="E24" s="58" t="s">
        <v>150</v>
      </c>
      <c r="F24" s="122" t="s">
        <v>205</v>
      </c>
      <c r="G24" s="122" t="s">
        <v>206</v>
      </c>
      <c r="H24" s="122" t="s">
        <v>221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</row>
    <row r="25" spans="1:257" customFormat="1" ht="15.75" x14ac:dyDescent="0.25">
      <c r="A25" s="96" t="s">
        <v>153</v>
      </c>
      <c r="B25" s="97" t="s">
        <v>154</v>
      </c>
      <c r="C25" s="103" t="s">
        <v>155</v>
      </c>
      <c r="D25" s="97">
        <v>10.403600000000001</v>
      </c>
      <c r="E25" s="99">
        <v>20547110</v>
      </c>
      <c r="F25" s="99">
        <v>20547110</v>
      </c>
      <c r="G25" s="99">
        <v>20547110</v>
      </c>
      <c r="H25" s="99">
        <v>20547110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</row>
    <row r="26" spans="1:257" customFormat="1" ht="15.75" x14ac:dyDescent="0.25">
      <c r="A26" s="96" t="s">
        <v>156</v>
      </c>
      <c r="B26" s="97" t="s">
        <v>157</v>
      </c>
      <c r="C26" s="103" t="s">
        <v>158</v>
      </c>
      <c r="D26" s="99">
        <v>72825</v>
      </c>
      <c r="E26" s="99">
        <v>21847500</v>
      </c>
      <c r="F26" s="99">
        <v>21847500</v>
      </c>
      <c r="G26" s="99">
        <v>21847500</v>
      </c>
      <c r="H26" s="99">
        <v>21847500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</row>
    <row r="27" spans="1:257" customFormat="1" ht="15.75" x14ac:dyDescent="0.25">
      <c r="A27" s="96" t="s">
        <v>153</v>
      </c>
      <c r="B27" s="97" t="s">
        <v>159</v>
      </c>
      <c r="C27" s="103" t="s">
        <v>155</v>
      </c>
      <c r="D27" s="97">
        <v>10.403600000000001</v>
      </c>
      <c r="E27" s="99">
        <v>20547110</v>
      </c>
      <c r="F27" s="99">
        <v>20547110</v>
      </c>
      <c r="G27" s="99">
        <v>20547110</v>
      </c>
      <c r="H27" s="99">
        <v>20547110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</row>
    <row r="28" spans="1:257" customFormat="1" ht="15.75" x14ac:dyDescent="0.25">
      <c r="A28" s="96" t="s">
        <v>156</v>
      </c>
      <c r="B28" s="97" t="s">
        <v>160</v>
      </c>
      <c r="C28" s="103" t="s">
        <v>161</v>
      </c>
      <c r="D28" s="99">
        <v>12664</v>
      </c>
      <c r="E28" s="99">
        <v>15196800</v>
      </c>
      <c r="F28" s="99">
        <v>15196800</v>
      </c>
      <c r="G28" s="99">
        <v>15196800</v>
      </c>
      <c r="H28" s="99">
        <v>15196800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</row>
    <row r="29" spans="1:257" customFormat="1" ht="15.75" x14ac:dyDescent="0.25">
      <c r="A29" s="96" t="s">
        <v>162</v>
      </c>
      <c r="B29" s="97" t="s">
        <v>163</v>
      </c>
      <c r="C29" s="98">
        <v>2606040</v>
      </c>
      <c r="D29" s="97">
        <v>2</v>
      </c>
      <c r="E29" s="99">
        <v>5212080</v>
      </c>
      <c r="F29" s="99">
        <v>5212080</v>
      </c>
      <c r="G29" s="99">
        <v>5212080</v>
      </c>
      <c r="H29" s="99">
        <v>5212080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</row>
    <row r="30" spans="1:257" customFormat="1" ht="15.75" x14ac:dyDescent="0.25">
      <c r="A30" s="100" t="s">
        <v>164</v>
      </c>
      <c r="B30" s="97" t="s">
        <v>165</v>
      </c>
      <c r="C30" s="97"/>
      <c r="D30" s="97"/>
      <c r="E30" s="99">
        <v>5950000</v>
      </c>
      <c r="F30" s="99">
        <v>5950000</v>
      </c>
      <c r="G30" s="99">
        <v>5950000</v>
      </c>
      <c r="H30" s="99">
        <v>5950000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</row>
    <row r="31" spans="1:257" customFormat="1" ht="15.75" x14ac:dyDescent="0.25">
      <c r="A31" s="107"/>
      <c r="B31" s="97" t="s">
        <v>176</v>
      </c>
      <c r="C31" s="97"/>
      <c r="D31" s="97"/>
      <c r="E31" s="99"/>
      <c r="F31" s="99">
        <v>3086688</v>
      </c>
      <c r="G31" s="99">
        <v>3906854</v>
      </c>
      <c r="H31" s="99">
        <f>'2C'!E40</f>
        <v>4820285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</row>
    <row r="32" spans="1:257" customFormat="1" ht="15.75" x14ac:dyDescent="0.25">
      <c r="A32" s="107"/>
      <c r="B32" s="97" t="s">
        <v>189</v>
      </c>
      <c r="C32" s="97"/>
      <c r="D32" s="97"/>
      <c r="E32" s="99"/>
      <c r="F32" s="99">
        <v>2546244</v>
      </c>
      <c r="G32" s="99">
        <v>7365550</v>
      </c>
      <c r="H32" s="99">
        <f>'2C'!E41</f>
        <v>7365550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</row>
    <row r="33" spans="1:257" ht="15.75" x14ac:dyDescent="0.25">
      <c r="A33" s="107"/>
      <c r="B33" s="108" t="s">
        <v>96</v>
      </c>
      <c r="C33" s="104"/>
      <c r="D33" s="104"/>
      <c r="E33" s="105">
        <f>SUM(E25:E30)</f>
        <v>89300600</v>
      </c>
      <c r="F33" s="105">
        <f>SUM(F25:F32)</f>
        <v>94933532</v>
      </c>
      <c r="G33" s="105">
        <f>SUM(G25:G32)</f>
        <v>100573004</v>
      </c>
      <c r="H33" s="105">
        <f>SUM(H25:H32)</f>
        <v>101486435</v>
      </c>
    </row>
    <row r="34" spans="1:257" customFormat="1" ht="15.75" x14ac:dyDescent="0.25">
      <c r="A34" s="104"/>
      <c r="B34" s="108"/>
      <c r="C34" s="104"/>
      <c r="D34" s="104"/>
      <c r="E34" s="105"/>
      <c r="F34" s="105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</row>
    <row r="35" spans="1:257" customFormat="1" ht="15.75" x14ac:dyDescent="0.25">
      <c r="A35" s="104"/>
      <c r="B35" s="108" t="s">
        <v>167</v>
      </c>
      <c r="C35" s="104"/>
      <c r="D35" s="104"/>
      <c r="E35" s="105">
        <f>E21+E33</f>
        <v>321246600</v>
      </c>
      <c r="F35" s="105">
        <f>F33+F21</f>
        <v>340582519</v>
      </c>
      <c r="G35" s="105">
        <f>G33+G21</f>
        <v>355634218</v>
      </c>
      <c r="H35" s="105">
        <f>H33+H21</f>
        <v>371121934</v>
      </c>
      <c r="I35" s="1" t="s">
        <v>76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</row>
    <row r="36" spans="1:257" customFormat="1" ht="15.75" x14ac:dyDescent="0.25">
      <c r="A36" s="104"/>
      <c r="B36" s="108"/>
      <c r="C36" s="104"/>
      <c r="D36" s="104"/>
      <c r="E36" s="105"/>
      <c r="F36" s="105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</row>
    <row r="37" spans="1:257" customFormat="1" ht="15.75" x14ac:dyDescent="0.25">
      <c r="A37" s="104" t="s">
        <v>190</v>
      </c>
      <c r="B37" s="108"/>
      <c r="C37" s="104"/>
      <c r="D37" s="104"/>
      <c r="E37" s="105"/>
      <c r="F37" s="105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</row>
    <row r="38" spans="1:257" customFormat="1" ht="15.75" x14ac:dyDescent="0.25">
      <c r="A38" s="141" t="s">
        <v>222</v>
      </c>
      <c r="B38" s="108"/>
      <c r="C38" s="104"/>
      <c r="D38" s="104"/>
      <c r="E38" s="105"/>
      <c r="F38" s="105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</row>
    <row r="39" spans="1:257" customFormat="1" ht="15.75" x14ac:dyDescent="0.25">
      <c r="A39" s="104"/>
      <c r="B39" s="104"/>
      <c r="C39" s="104"/>
      <c r="D39" s="104"/>
      <c r="E39" s="105"/>
      <c r="F39" s="105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</row>
    <row r="40" spans="1:257" x14ac:dyDescent="0.25">
      <c r="A40" s="134" t="s">
        <v>211</v>
      </c>
    </row>
  </sheetData>
  <mergeCells count="5">
    <mergeCell ref="B1:E1"/>
    <mergeCell ref="A6:C6"/>
    <mergeCell ref="A23:C23"/>
    <mergeCell ref="A2:E2"/>
    <mergeCell ref="A4:E4"/>
  </mergeCells>
  <phoneticPr fontId="20" type="noConversion"/>
  <pageMargins left="0.70000000000000007" right="0.70000000000000007" top="1.1437007874015752" bottom="1.1437007874015752" header="0.75000000000000011" footer="0.75000000000000011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1_</vt:lpstr>
      <vt:lpstr>2A</vt:lpstr>
      <vt:lpstr>2B</vt:lpstr>
      <vt:lpstr>2C</vt:lpstr>
      <vt:lpstr>2D</vt:lpstr>
      <vt:lpstr>3</vt:lpstr>
      <vt:lpstr>4</vt:lpstr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Szabóné Molnár Ildikó</dc:creator>
  <cp:lastModifiedBy>Szabóné Molnár Ildikó</cp:lastModifiedBy>
  <cp:lastPrinted>2015-11-16T14:00:39Z</cp:lastPrinted>
  <dcterms:created xsi:type="dcterms:W3CDTF">2013-02-08T06:54:51Z</dcterms:created>
  <dcterms:modified xsi:type="dcterms:W3CDTF">2016-02-03T17:33:42Z</dcterms:modified>
</cp:coreProperties>
</file>