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nzugy\Molnárné Nagy Edina\KISTÉRSÉG\Kistérség 2024\Költségvetés\Zárszámadás 2024\Határozat\"/>
    </mc:Choice>
  </mc:AlternateContent>
  <xr:revisionPtr revIDLastSave="0" documentId="13_ncr:1_{0E6C6FD2-2D3C-4B16-8833-900F6A881CDB}" xr6:coauthVersionLast="36" xr6:coauthVersionMax="36" xr10:uidLastSave="{00000000-0000-0000-0000-000000000000}"/>
  <bookViews>
    <workbookView xWindow="240" yWindow="0" windowWidth="2736" windowHeight="1212" tabRatio="951" firstSheet="8" activeTab="9" xr2:uid="{00000000-000D-0000-FFFF-FFFF00000000}"/>
  </bookViews>
  <sheets>
    <sheet name="Tartalom" sheetId="1" r:id="rId1"/>
    <sheet name="Mérleg" sheetId="2" r:id="rId2"/>
    <sheet name="Működési bevételek" sheetId="3" r:id="rId3"/>
    <sheet name="Felhalmozási bevételek" sheetId="14" r:id="rId4"/>
    <sheet name="Működési kiadások" sheetId="5" r:id="rId5"/>
    <sheet name="Felhalmozási kiadások" sheetId="15" r:id="rId6"/>
    <sheet name="Állami támogatások " sheetId="41" r:id="rId7"/>
    <sheet name="támogatás" sheetId="44" r:id="rId8"/>
    <sheet name="Címrend" sheetId="8" r:id="rId9"/>
    <sheet name="Létszámok" sheetId="43" r:id="rId10"/>
    <sheet name="Közvetett támogatások" sheetId="40" r:id="rId11"/>
    <sheet name="Finanszírozás" sheetId="19" state="hidden" r:id="rId12"/>
    <sheet name="Gördülő tervezés" sheetId="20" state="hidden" r:id="rId13"/>
    <sheet name=" hitel" sheetId="32" state="hidden" r:id="rId14"/>
    <sheet name="Vagyonmérleg" sheetId="55" r:id="rId15"/>
    <sheet name="Eredménykimutatás" sheetId="54" r:id="rId16"/>
    <sheet name="Maradványkimutatás" sheetId="53" r:id="rId17"/>
    <sheet name="Bevételek korm.funkciónként" sheetId="51" r:id="rId18"/>
    <sheet name="Kiadások korm.funkciónként" sheetId="50" r:id="rId19"/>
    <sheet name="2024. tagdíj" sheetId="52" r:id="rId20"/>
    <sheet name="Felosztás" sheetId="49" r:id="rId21"/>
    <sheet name="Hitelek" sheetId="48" r:id="rId22"/>
    <sheet name="Többéves " sheetId="34" r:id="rId23"/>
    <sheet name="EU-s projektek" sheetId="56" r:id="rId24"/>
    <sheet name="Saját bevételek részletezése" sheetId="33" state="hidden" r:id="rId25"/>
    <sheet name="Adósságot keletkeztető fejleszt" sheetId="24" state="hidden" r:id="rId26"/>
    <sheet name="2023-2024 tagdíj" sheetId="46" state="hidden" r:id="rId27"/>
  </sheets>
  <externalReferences>
    <externalReference r:id="rId28"/>
    <externalReference r:id="rId29"/>
    <externalReference r:id="rId30"/>
  </externalReferences>
  <definedNames>
    <definedName name="_xlnm.Print_Area" localSheetId="13">' hitel'!$A$1:$E$10</definedName>
    <definedName name="_xlnm.Print_Area" localSheetId="26">'2023-2024 tagdíj'!$A$1:$K$88</definedName>
    <definedName name="_xlnm.Print_Area" localSheetId="6">'Állami támogatások '!$A$1:$D$25</definedName>
    <definedName name="_xlnm.Print_Area" localSheetId="8">Címrend!$A$1:$C$10</definedName>
    <definedName name="_xlnm.Print_Area" localSheetId="3">'Felhalmozási bevételek'!$A$1:$L$16</definedName>
    <definedName name="_xlnm.Print_Area" localSheetId="5">'Felhalmozási kiadások'!$A$1:$J$27</definedName>
    <definedName name="_xlnm.Print_Area" localSheetId="11">Finanszírozás!$A$1:$N$22</definedName>
    <definedName name="_xlnm.Print_Area" localSheetId="10">'Közvetett támogatások'!$A$1:$F$12</definedName>
    <definedName name="_xlnm.Print_Area" localSheetId="2">'Működési bevételek'!$A$1:$L$89</definedName>
    <definedName name="_xlnm.Print_Area" localSheetId="4">'Működési kiadások'!$A$1:$N$104</definedName>
    <definedName name="_xlnm.Print_Area" localSheetId="24">'Saját bevételek részletezése'!$A$1:$E$14</definedName>
    <definedName name="_xlnm.Print_Area" localSheetId="22">'Többéves '!$A$1:$K$115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G42" i="49" l="1"/>
  <c r="G44" i="49" s="1"/>
  <c r="L32" i="49" l="1"/>
  <c r="M32" i="49"/>
  <c r="F32" i="49"/>
  <c r="E32" i="49"/>
  <c r="D32" i="49"/>
  <c r="O30" i="44" l="1"/>
  <c r="M31" i="49" l="1"/>
  <c r="M30" i="49"/>
  <c r="M29" i="49"/>
  <c r="AG29" i="2" l="1"/>
  <c r="AG17" i="2"/>
  <c r="AG19" i="2"/>
  <c r="AG7" i="2"/>
  <c r="AB18" i="2"/>
  <c r="AB17" i="2"/>
  <c r="AB8" i="2"/>
  <c r="AB6" i="2"/>
  <c r="U9" i="2"/>
  <c r="U7" i="2"/>
  <c r="U6" i="2"/>
  <c r="I8" i="2"/>
  <c r="I18" i="2"/>
  <c r="I14" i="2"/>
  <c r="G40" i="44"/>
  <c r="G39" i="44"/>
  <c r="I7" i="2"/>
  <c r="AB7" i="2" s="1"/>
  <c r="K6" i="2"/>
  <c r="I6" i="2"/>
  <c r="I12" i="2" l="1"/>
  <c r="L31" i="49"/>
  <c r="N31" i="49" s="1"/>
  <c r="L30" i="49"/>
  <c r="N30" i="49" s="1"/>
  <c r="L29" i="49"/>
  <c r="N29" i="49" s="1"/>
  <c r="D52" i="49"/>
  <c r="C52" i="49"/>
  <c r="D48" i="49"/>
  <c r="C48" i="49"/>
  <c r="D46" i="49"/>
  <c r="C46" i="49"/>
  <c r="D44" i="49"/>
  <c r="C44" i="49"/>
  <c r="D41" i="49"/>
  <c r="C41" i="49"/>
  <c r="F31" i="49"/>
  <c r="E31" i="49"/>
  <c r="F30" i="49"/>
  <c r="E30" i="49"/>
  <c r="D30" i="49"/>
  <c r="F29" i="49"/>
  <c r="E29" i="49"/>
  <c r="D29" i="49"/>
  <c r="O16" i="44" l="1"/>
  <c r="O9" i="44"/>
  <c r="O13" i="44"/>
  <c r="F33" i="15" l="1"/>
  <c r="G33" i="15"/>
  <c r="H33" i="15"/>
  <c r="I33" i="15"/>
  <c r="F35" i="15"/>
  <c r="G35" i="15"/>
  <c r="H35" i="15"/>
  <c r="I35" i="15"/>
  <c r="E35" i="15"/>
  <c r="E33" i="15"/>
  <c r="F32" i="15"/>
  <c r="G32" i="15"/>
  <c r="H32" i="15"/>
  <c r="I32" i="15"/>
  <c r="E32" i="15"/>
  <c r="F66" i="3"/>
  <c r="G66" i="3"/>
  <c r="H66" i="3"/>
  <c r="I66" i="3"/>
  <c r="J66" i="3"/>
  <c r="K66" i="3"/>
  <c r="L66" i="3"/>
  <c r="E66" i="3"/>
  <c r="F63" i="3"/>
  <c r="G63" i="3"/>
  <c r="H63" i="3"/>
  <c r="I63" i="3"/>
  <c r="J63" i="3"/>
  <c r="K63" i="3"/>
  <c r="L63" i="3"/>
  <c r="E63" i="3"/>
  <c r="F60" i="3"/>
  <c r="G60" i="3"/>
  <c r="H60" i="3"/>
  <c r="I60" i="3"/>
  <c r="J60" i="3"/>
  <c r="K60" i="3"/>
  <c r="L60" i="3"/>
  <c r="E60" i="3"/>
  <c r="F33" i="3"/>
  <c r="G33" i="3"/>
  <c r="H33" i="3"/>
  <c r="I33" i="3"/>
  <c r="J33" i="3"/>
  <c r="K33" i="3"/>
  <c r="L33" i="3"/>
  <c r="E33" i="3"/>
  <c r="D56" i="41" l="1"/>
  <c r="E56" i="41"/>
  <c r="C56" i="41"/>
  <c r="D54" i="41"/>
  <c r="D53" i="41"/>
  <c r="D52" i="41"/>
  <c r="C55" i="41"/>
  <c r="C54" i="41"/>
  <c r="C53" i="41"/>
  <c r="C52" i="41"/>
  <c r="B55" i="41"/>
  <c r="B54" i="41"/>
  <c r="B53" i="41"/>
  <c r="B52" i="41"/>
  <c r="I22" i="41"/>
  <c r="H22" i="41"/>
  <c r="H21" i="41"/>
  <c r="I6" i="41"/>
  <c r="I7" i="41"/>
  <c r="I8" i="41"/>
  <c r="I9" i="41"/>
  <c r="I10" i="41"/>
  <c r="I11" i="41"/>
  <c r="I12" i="41"/>
  <c r="I13" i="41"/>
  <c r="I14" i="41"/>
  <c r="I15" i="41"/>
  <c r="I16" i="41"/>
  <c r="I17" i="41"/>
  <c r="I18" i="41"/>
  <c r="I19" i="41"/>
  <c r="I5" i="41"/>
  <c r="G22" i="41"/>
  <c r="G21" i="41"/>
  <c r="G20" i="41"/>
  <c r="H20" i="41"/>
  <c r="I20" i="41" l="1"/>
  <c r="K30" i="3" l="1"/>
  <c r="L30" i="3"/>
  <c r="G9" i="8" s="1"/>
  <c r="F19" i="14"/>
  <c r="G19" i="14"/>
  <c r="H19" i="14"/>
  <c r="I19" i="14"/>
  <c r="J19" i="14"/>
  <c r="K19" i="14"/>
  <c r="L19" i="14"/>
  <c r="F20" i="14"/>
  <c r="G20" i="14"/>
  <c r="H20" i="14"/>
  <c r="I20" i="14"/>
  <c r="J20" i="14"/>
  <c r="K20" i="14"/>
  <c r="L20" i="14"/>
  <c r="E20" i="14"/>
  <c r="E19" i="14"/>
  <c r="L14" i="14"/>
  <c r="I9" i="8"/>
  <c r="J9" i="8"/>
  <c r="H9" i="8" l="1"/>
  <c r="F109" i="5"/>
  <c r="G109" i="5"/>
  <c r="H109" i="5"/>
  <c r="I109" i="5"/>
  <c r="J109" i="5"/>
  <c r="K109" i="5"/>
  <c r="L109" i="5"/>
  <c r="M109" i="5"/>
  <c r="F110" i="5"/>
  <c r="G110" i="5"/>
  <c r="H110" i="5"/>
  <c r="I110" i="5"/>
  <c r="J110" i="5"/>
  <c r="K110" i="5"/>
  <c r="L110" i="5"/>
  <c r="M110" i="5"/>
  <c r="F111" i="5"/>
  <c r="G111" i="5"/>
  <c r="H111" i="5"/>
  <c r="I111" i="5"/>
  <c r="J111" i="5"/>
  <c r="K111" i="5"/>
  <c r="L111" i="5"/>
  <c r="M111" i="5"/>
  <c r="E111" i="5"/>
  <c r="E110" i="5"/>
  <c r="E109" i="5"/>
  <c r="F97" i="5"/>
  <c r="G97" i="5"/>
  <c r="H97" i="5"/>
  <c r="I97" i="5"/>
  <c r="J97" i="5"/>
  <c r="K97" i="5"/>
  <c r="L97" i="5"/>
  <c r="M97" i="5"/>
  <c r="F98" i="5"/>
  <c r="G98" i="5"/>
  <c r="H98" i="5"/>
  <c r="I98" i="5"/>
  <c r="J98" i="5"/>
  <c r="K98" i="5"/>
  <c r="L98" i="5"/>
  <c r="M98" i="5"/>
  <c r="F99" i="5"/>
  <c r="G99" i="5"/>
  <c r="H99" i="5"/>
  <c r="I99" i="5"/>
  <c r="J99" i="5"/>
  <c r="K99" i="5"/>
  <c r="L99" i="5"/>
  <c r="M99" i="5"/>
  <c r="E99" i="5"/>
  <c r="E98" i="5"/>
  <c r="E97" i="5"/>
  <c r="M88" i="5"/>
  <c r="M87" i="5"/>
  <c r="I23" i="15"/>
  <c r="F49" i="5"/>
  <c r="G49" i="5"/>
  <c r="H49" i="5"/>
  <c r="I49" i="5"/>
  <c r="J49" i="5"/>
  <c r="K49" i="5"/>
  <c r="L49" i="5"/>
  <c r="M49" i="5"/>
  <c r="F50" i="5"/>
  <c r="G50" i="5"/>
  <c r="H50" i="5"/>
  <c r="I50" i="5"/>
  <c r="J50" i="5"/>
  <c r="K50" i="5"/>
  <c r="L50" i="5"/>
  <c r="M50" i="5"/>
  <c r="F51" i="5"/>
  <c r="G51" i="5"/>
  <c r="H51" i="5"/>
  <c r="I51" i="5"/>
  <c r="J51" i="5"/>
  <c r="K51" i="5"/>
  <c r="L51" i="5"/>
  <c r="M51" i="5"/>
  <c r="E51" i="5"/>
  <c r="E50" i="5"/>
  <c r="E49" i="5"/>
  <c r="M40" i="5"/>
  <c r="M39" i="5"/>
  <c r="F78" i="5"/>
  <c r="G78" i="5"/>
  <c r="H78" i="5"/>
  <c r="I78" i="5"/>
  <c r="J78" i="5"/>
  <c r="K78" i="5"/>
  <c r="L78" i="5"/>
  <c r="M78" i="5"/>
  <c r="E78" i="5"/>
  <c r="F77" i="5"/>
  <c r="G77" i="5"/>
  <c r="H77" i="5"/>
  <c r="I77" i="5"/>
  <c r="J77" i="5"/>
  <c r="K77" i="5"/>
  <c r="L77" i="5"/>
  <c r="M77" i="5"/>
  <c r="E77" i="5"/>
  <c r="F25" i="5"/>
  <c r="G25" i="5"/>
  <c r="H25" i="5"/>
  <c r="I25" i="5"/>
  <c r="J25" i="5"/>
  <c r="K25" i="5"/>
  <c r="L25" i="5"/>
  <c r="M25" i="5"/>
  <c r="E25" i="5"/>
  <c r="F24" i="5"/>
  <c r="G24" i="5"/>
  <c r="H24" i="5"/>
  <c r="I24" i="5"/>
  <c r="J24" i="5"/>
  <c r="K24" i="5"/>
  <c r="L24" i="5"/>
  <c r="M24" i="5"/>
  <c r="E24" i="5"/>
  <c r="G8" i="8"/>
  <c r="F54" i="3"/>
  <c r="G54" i="3"/>
  <c r="H54" i="3"/>
  <c r="I54" i="3"/>
  <c r="J54" i="3"/>
  <c r="K54" i="3"/>
  <c r="L54" i="3"/>
  <c r="E54" i="3"/>
  <c r="F20" i="3"/>
  <c r="G20" i="3"/>
  <c r="H20" i="3"/>
  <c r="I20" i="3"/>
  <c r="J20" i="3"/>
  <c r="K20" i="3"/>
  <c r="L20" i="3"/>
  <c r="E20" i="3"/>
  <c r="F50" i="3"/>
  <c r="G50" i="3"/>
  <c r="H50" i="3"/>
  <c r="I50" i="3"/>
  <c r="J50" i="3"/>
  <c r="K50" i="3"/>
  <c r="L50" i="3"/>
  <c r="E50" i="3"/>
  <c r="G16" i="3"/>
  <c r="L11" i="14"/>
  <c r="L16" i="3"/>
  <c r="H8" i="8"/>
  <c r="I17" i="15"/>
  <c r="M69" i="5"/>
  <c r="M16" i="5"/>
  <c r="F44" i="3"/>
  <c r="G44" i="3"/>
  <c r="H44" i="3"/>
  <c r="I44" i="3"/>
  <c r="J44" i="3"/>
  <c r="K44" i="3"/>
  <c r="L44" i="3"/>
  <c r="E44" i="3"/>
  <c r="G7" i="8"/>
  <c r="G10" i="3"/>
  <c r="F86" i="3"/>
  <c r="G86" i="3"/>
  <c r="H86" i="3"/>
  <c r="I86" i="3"/>
  <c r="J86" i="3"/>
  <c r="E86" i="3"/>
  <c r="K82" i="3"/>
  <c r="K86" i="3" s="1"/>
  <c r="K76" i="3"/>
  <c r="K10" i="3"/>
  <c r="L8" i="14"/>
  <c r="H7" i="8"/>
  <c r="I11" i="15"/>
  <c r="M63" i="5"/>
  <c r="M10" i="5"/>
  <c r="K13" i="8"/>
  <c r="J13" i="8"/>
  <c r="I13" i="8"/>
  <c r="J10" i="8"/>
  <c r="I10" i="8"/>
  <c r="K8" i="8"/>
  <c r="K9" i="8"/>
  <c r="J8" i="8"/>
  <c r="K7" i="8"/>
  <c r="J7" i="8"/>
  <c r="L10" i="3" l="1"/>
  <c r="K10" i="8"/>
  <c r="H72" i="52"/>
  <c r="F72" i="52" l="1"/>
  <c r="D77" i="52"/>
  <c r="E69" i="52"/>
  <c r="E68" i="52"/>
  <c r="E67" i="52"/>
  <c r="E66" i="52"/>
  <c r="E65" i="52"/>
  <c r="E64" i="52"/>
  <c r="E63" i="52"/>
  <c r="E62" i="52"/>
  <c r="E61" i="52"/>
  <c r="E60" i="52"/>
  <c r="E59" i="52"/>
  <c r="E58" i="52"/>
  <c r="E57" i="52"/>
  <c r="E56" i="52"/>
  <c r="E55" i="52"/>
  <c r="E54" i="52"/>
  <c r="E53" i="52"/>
  <c r="E52" i="52"/>
  <c r="E51" i="52"/>
  <c r="E50" i="52"/>
  <c r="E49" i="52"/>
  <c r="E48" i="52"/>
  <c r="E47" i="52"/>
  <c r="E46" i="52"/>
  <c r="E45" i="52"/>
  <c r="E44" i="52"/>
  <c r="M43" i="52"/>
  <c r="C39" i="52"/>
  <c r="D46" i="52" s="1"/>
  <c r="F38" i="52"/>
  <c r="E38" i="52"/>
  <c r="D38" i="52"/>
  <c r="F37" i="52"/>
  <c r="E37" i="52"/>
  <c r="D37" i="52"/>
  <c r="F36" i="52"/>
  <c r="E36" i="52"/>
  <c r="D36" i="52"/>
  <c r="F35" i="52"/>
  <c r="E35" i="52"/>
  <c r="D35" i="52"/>
  <c r="F34" i="52"/>
  <c r="E34" i="52"/>
  <c r="D34" i="52"/>
  <c r="F33" i="52"/>
  <c r="E33" i="52"/>
  <c r="D33" i="52"/>
  <c r="F32" i="52"/>
  <c r="E32" i="52"/>
  <c r="D32" i="52"/>
  <c r="F31" i="52"/>
  <c r="E31" i="52"/>
  <c r="D31" i="52"/>
  <c r="F30" i="52"/>
  <c r="E30" i="52"/>
  <c r="D30" i="52"/>
  <c r="F29" i="52"/>
  <c r="E29" i="52"/>
  <c r="D29" i="52"/>
  <c r="F28" i="52"/>
  <c r="E28" i="52"/>
  <c r="D28" i="52"/>
  <c r="F27" i="52"/>
  <c r="E27" i="52"/>
  <c r="D27" i="52"/>
  <c r="F26" i="52"/>
  <c r="E26" i="52"/>
  <c r="D26" i="52"/>
  <c r="F25" i="52"/>
  <c r="E25" i="52"/>
  <c r="D25" i="52"/>
  <c r="F24" i="52"/>
  <c r="E24" i="52"/>
  <c r="D24" i="52"/>
  <c r="F23" i="52"/>
  <c r="E23" i="52"/>
  <c r="D23" i="52"/>
  <c r="F22" i="52"/>
  <c r="E22" i="52"/>
  <c r="D22" i="52"/>
  <c r="F21" i="52"/>
  <c r="E21" i="52"/>
  <c r="D21" i="52"/>
  <c r="F20" i="52"/>
  <c r="E20" i="52"/>
  <c r="D20" i="52"/>
  <c r="F19" i="52"/>
  <c r="E19" i="52"/>
  <c r="D19" i="52"/>
  <c r="F18" i="52"/>
  <c r="E18" i="52"/>
  <c r="D18" i="52"/>
  <c r="F17" i="52"/>
  <c r="E17" i="52"/>
  <c r="D17" i="52"/>
  <c r="F16" i="52"/>
  <c r="E16" i="52"/>
  <c r="D16" i="52"/>
  <c r="F15" i="52"/>
  <c r="E15" i="52"/>
  <c r="D15" i="52"/>
  <c r="F14" i="52"/>
  <c r="E14" i="52"/>
  <c r="D14" i="52"/>
  <c r="G46" i="52" s="1"/>
  <c r="I46" i="52" s="1"/>
  <c r="F13" i="52"/>
  <c r="E13" i="52"/>
  <c r="D13" i="52"/>
  <c r="F12" i="52"/>
  <c r="E12" i="52"/>
  <c r="D12" i="52"/>
  <c r="G6" i="52"/>
  <c r="G5" i="52"/>
  <c r="G4" i="52"/>
  <c r="G3" i="52"/>
  <c r="K15" i="52" l="1"/>
  <c r="J15" i="52"/>
  <c r="D13" i="49"/>
  <c r="G7" i="52"/>
  <c r="E72" i="52"/>
  <c r="D10" i="49" s="1"/>
  <c r="F40" i="52"/>
  <c r="D9" i="49" s="1"/>
  <c r="E40" i="52"/>
  <c r="D8" i="49" s="1"/>
  <c r="D57" i="52"/>
  <c r="G57" i="52" s="1"/>
  <c r="I57" i="52" s="1"/>
  <c r="D61" i="52"/>
  <c r="G61" i="52" s="1"/>
  <c r="I61" i="52" s="1"/>
  <c r="D45" i="52"/>
  <c r="G45" i="52" s="1"/>
  <c r="I45" i="52" s="1"/>
  <c r="D50" i="52"/>
  <c r="G50" i="52" s="1"/>
  <c r="I50" i="52" s="1"/>
  <c r="D54" i="52"/>
  <c r="G54" i="52" s="1"/>
  <c r="I54" i="52" s="1"/>
  <c r="D58" i="52"/>
  <c r="G58" i="52" s="1"/>
  <c r="I58" i="52" s="1"/>
  <c r="D62" i="52"/>
  <c r="G62" i="52" s="1"/>
  <c r="I62" i="52" s="1"/>
  <c r="D66" i="52"/>
  <c r="G66" i="52" s="1"/>
  <c r="I66" i="52" s="1"/>
  <c r="D76" i="52"/>
  <c r="F76" i="52" s="1"/>
  <c r="F79" i="52" s="1"/>
  <c r="D64" i="52"/>
  <c r="G64" i="52" s="1"/>
  <c r="I64" i="52" s="1"/>
  <c r="D44" i="52"/>
  <c r="G44" i="52" s="1"/>
  <c r="D49" i="52"/>
  <c r="G49" i="52" s="1"/>
  <c r="I49" i="52" s="1"/>
  <c r="D48" i="52"/>
  <c r="G48" i="52" s="1"/>
  <c r="I48" i="52" s="1"/>
  <c r="D52" i="52"/>
  <c r="G52" i="52" s="1"/>
  <c r="I52" i="52" s="1"/>
  <c r="D56" i="52"/>
  <c r="G56" i="52" s="1"/>
  <c r="I56" i="52" s="1"/>
  <c r="D60" i="52"/>
  <c r="G60" i="52" s="1"/>
  <c r="I60" i="52" s="1"/>
  <c r="D40" i="52"/>
  <c r="D68" i="52"/>
  <c r="G68" i="52" s="1"/>
  <c r="I68" i="52" s="1"/>
  <c r="H7" i="52"/>
  <c r="D47" i="52"/>
  <c r="G47" i="52" s="1"/>
  <c r="I47" i="52" s="1"/>
  <c r="D51" i="52"/>
  <c r="G51" i="52" s="1"/>
  <c r="I51" i="52" s="1"/>
  <c r="D55" i="52"/>
  <c r="G55" i="52" s="1"/>
  <c r="I55" i="52" s="1"/>
  <c r="D63" i="52"/>
  <c r="G63" i="52" s="1"/>
  <c r="I63" i="52" s="1"/>
  <c r="D67" i="52"/>
  <c r="G67" i="52" s="1"/>
  <c r="I67" i="52" s="1"/>
  <c r="D53" i="52"/>
  <c r="G53" i="52" s="1"/>
  <c r="I53" i="52" s="1"/>
  <c r="D65" i="52"/>
  <c r="G65" i="52" s="1"/>
  <c r="I65" i="52" s="1"/>
  <c r="D69" i="52"/>
  <c r="G69" i="52" s="1"/>
  <c r="I69" i="52" s="1"/>
  <c r="D59" i="52"/>
  <c r="G59" i="52" s="1"/>
  <c r="I59" i="52" s="1"/>
  <c r="L15" i="52" l="1"/>
  <c r="F81" i="52"/>
  <c r="E16" i="49" s="1"/>
  <c r="D39" i="49"/>
  <c r="E14" i="49"/>
  <c r="J13" i="52"/>
  <c r="D26" i="49"/>
  <c r="G34" i="49" s="1"/>
  <c r="K13" i="52"/>
  <c r="D11" i="49"/>
  <c r="D78" i="52"/>
  <c r="I44" i="52"/>
  <c r="G70" i="52"/>
  <c r="I70" i="52" s="1"/>
  <c r="D72" i="52"/>
  <c r="N34" i="49" l="1"/>
  <c r="K26" i="49"/>
  <c r="L13" i="52"/>
  <c r="E82" i="52"/>
  <c r="L14" i="52"/>
  <c r="K16" i="52"/>
  <c r="D50" i="49" s="1"/>
  <c r="D54" i="49" s="1"/>
  <c r="D12" i="49"/>
  <c r="D73" i="52"/>
  <c r="B84" i="52"/>
  <c r="B85" i="52" s="1"/>
  <c r="D79" i="52"/>
  <c r="G72" i="52"/>
  <c r="L16" i="52" l="1"/>
  <c r="J16" i="52"/>
  <c r="C50" i="49" s="1"/>
  <c r="C54" i="49" s="1"/>
  <c r="D85" i="52"/>
  <c r="M33" i="49" l="1"/>
  <c r="G30" i="49"/>
  <c r="D14" i="49"/>
  <c r="F12" i="49"/>
  <c r="F11" i="49"/>
  <c r="F10" i="49"/>
  <c r="F9" i="49"/>
  <c r="F8" i="49"/>
  <c r="G11" i="43"/>
  <c r="G16" i="43"/>
  <c r="H16" i="43"/>
  <c r="H30" i="43" s="1"/>
  <c r="E11" i="43"/>
  <c r="E16" i="43"/>
  <c r="F16" i="43"/>
  <c r="F30" i="43" s="1"/>
  <c r="O10" i="44"/>
  <c r="O11" i="44"/>
  <c r="O12" i="44"/>
  <c r="O15" i="44"/>
  <c r="P13" i="44" s="1"/>
  <c r="P16" i="44"/>
  <c r="AG8" i="2"/>
  <c r="AG12" i="2"/>
  <c r="AG15" i="2"/>
  <c r="AG16" i="2"/>
  <c r="AB11" i="2"/>
  <c r="U8" i="2"/>
  <c r="W6" i="2"/>
  <c r="V7" i="2"/>
  <c r="W9" i="2"/>
  <c r="V11" i="2"/>
  <c r="V12" i="2"/>
  <c r="V13" i="2"/>
  <c r="J9" i="2"/>
  <c r="K14" i="2"/>
  <c r="I15" i="2"/>
  <c r="K16" i="2"/>
  <c r="J17" i="2"/>
  <c r="J18" i="2"/>
  <c r="J21" i="2"/>
  <c r="J25" i="2" s="1"/>
  <c r="J23" i="2"/>
  <c r="I25" i="2"/>
  <c r="K25" i="2"/>
  <c r="J28" i="2"/>
  <c r="N32" i="49" l="1"/>
  <c r="L33" i="49"/>
  <c r="N33" i="49" s="1"/>
  <c r="F14" i="49"/>
  <c r="F15" i="49" s="1"/>
  <c r="D15" i="49"/>
  <c r="E15" i="49"/>
  <c r="G31" i="49"/>
  <c r="G29" i="49"/>
  <c r="G30" i="43"/>
  <c r="E30" i="43"/>
  <c r="J7" i="2"/>
  <c r="V9" i="2"/>
  <c r="V6" i="2"/>
  <c r="V8" i="2" s="1"/>
  <c r="J6" i="2"/>
  <c r="U29" i="2"/>
  <c r="W7" i="2"/>
  <c r="W8" i="2" s="1"/>
  <c r="W29" i="2" s="1"/>
  <c r="I17" i="2"/>
  <c r="K9" i="2"/>
  <c r="K12" i="2" s="1"/>
  <c r="K13" i="2"/>
  <c r="K17" i="2" s="1"/>
  <c r="F33" i="49" l="1"/>
  <c r="C56" i="49"/>
  <c r="E17" i="49"/>
  <c r="F17" i="49" s="1"/>
  <c r="F16" i="49"/>
  <c r="I20" i="2"/>
  <c r="I27" i="2" s="1"/>
  <c r="J12" i="2"/>
  <c r="J20" i="2" s="1"/>
  <c r="J27" i="2" s="1"/>
  <c r="J33" i="2" s="1"/>
  <c r="V29" i="2"/>
  <c r="K20" i="2"/>
  <c r="K27" i="2" s="1"/>
  <c r="K33" i="2" s="1"/>
  <c r="E33" i="49" l="1"/>
  <c r="I33" i="2"/>
  <c r="I31" i="2"/>
  <c r="AF17" i="2"/>
  <c r="AA14" i="2"/>
  <c r="F37" i="44"/>
  <c r="F40" i="44" s="1"/>
  <c r="C47" i="41"/>
  <c r="C46" i="41"/>
  <c r="D33" i="49" l="1"/>
  <c r="G33" i="49" s="1"/>
  <c r="G32" i="49"/>
  <c r="K59" i="3"/>
  <c r="L15" i="44"/>
  <c r="C55" i="49" l="1"/>
  <c r="C57" i="49" s="1"/>
  <c r="L12" i="44"/>
  <c r="L11" i="44"/>
  <c r="L10" i="44"/>
  <c r="F8" i="41"/>
  <c r="F22" i="41"/>
  <c r="F21" i="41"/>
  <c r="F19" i="41"/>
  <c r="F18" i="41"/>
  <c r="F17" i="41"/>
  <c r="F15" i="41"/>
  <c r="F11" i="41"/>
  <c r="F9" i="41"/>
  <c r="F6" i="41"/>
  <c r="F7" i="41"/>
  <c r="F10" i="41"/>
  <c r="F12" i="41"/>
  <c r="F13" i="41"/>
  <c r="F14" i="41"/>
  <c r="F16" i="41"/>
  <c r="M13" i="44"/>
  <c r="M16" i="44"/>
  <c r="L22" i="44"/>
  <c r="F20" i="41" l="1"/>
  <c r="L9" i="44" s="1"/>
  <c r="L30" i="44" s="1"/>
  <c r="F7" i="2" s="1"/>
  <c r="F21" i="15"/>
  <c r="K38" i="5"/>
  <c r="G37" i="5"/>
  <c r="J80" i="3"/>
  <c r="F14" i="3"/>
  <c r="G14" i="3"/>
  <c r="H14" i="3"/>
  <c r="G14" i="5"/>
  <c r="F14" i="5"/>
  <c r="E14" i="5"/>
  <c r="F8" i="3"/>
  <c r="G8" i="3"/>
  <c r="H74" i="3"/>
  <c r="J74" i="3"/>
  <c r="H8" i="3"/>
  <c r="E9" i="15" l="1"/>
  <c r="J8" i="5" l="1"/>
  <c r="G8" i="5"/>
  <c r="F8" i="5"/>
  <c r="E8" i="5"/>
  <c r="E37" i="44" l="1"/>
  <c r="E40" i="44" s="1"/>
  <c r="I22" i="44" l="1"/>
  <c r="I19" i="44"/>
  <c r="I20" i="44"/>
  <c r="J13" i="44"/>
  <c r="J16" i="44"/>
  <c r="AE17" i="2"/>
  <c r="C35" i="41"/>
  <c r="E15" i="41"/>
  <c r="E19" i="41"/>
  <c r="E18" i="41"/>
  <c r="E17" i="41"/>
  <c r="E11" i="41"/>
  <c r="E9" i="41"/>
  <c r="E8" i="41"/>
  <c r="E7" i="41"/>
  <c r="E10" i="41" l="1"/>
  <c r="E12" i="41"/>
  <c r="E13" i="41"/>
  <c r="E14" i="41"/>
  <c r="E16" i="41"/>
  <c r="E20" i="41" l="1"/>
  <c r="I9" i="44" s="1"/>
  <c r="I30" i="44" s="1"/>
  <c r="H8" i="5"/>
  <c r="G13" i="44" l="1"/>
  <c r="G16" i="44"/>
  <c r="D20" i="41"/>
  <c r="F9" i="44" s="1"/>
  <c r="F30" i="44" s="1"/>
  <c r="D21" i="41"/>
  <c r="E21" i="41" s="1"/>
  <c r="E22" i="41" s="1"/>
  <c r="C20" i="41"/>
  <c r="H6" i="2"/>
  <c r="H31" i="3"/>
  <c r="F14" i="2"/>
  <c r="H14" i="2" s="1"/>
  <c r="F6" i="2"/>
  <c r="AA6" i="2" s="1"/>
  <c r="F17" i="14"/>
  <c r="G17" i="14"/>
  <c r="H17" i="14"/>
  <c r="I17" i="14"/>
  <c r="J17" i="14"/>
  <c r="K17" i="14"/>
  <c r="F18" i="14"/>
  <c r="G18" i="14"/>
  <c r="H18" i="14"/>
  <c r="I18" i="14"/>
  <c r="J18" i="14"/>
  <c r="K18" i="14"/>
  <c r="E18" i="14"/>
  <c r="E17" i="14"/>
  <c r="I65" i="3"/>
  <c r="J65" i="3"/>
  <c r="E65" i="3"/>
  <c r="F62" i="3"/>
  <c r="G62" i="3"/>
  <c r="I62" i="3"/>
  <c r="J62" i="3"/>
  <c r="E62" i="3"/>
  <c r="F59" i="3"/>
  <c r="G59" i="3"/>
  <c r="H59" i="3"/>
  <c r="L59" i="3" s="1"/>
  <c r="I59" i="3"/>
  <c r="J59" i="3"/>
  <c r="K62" i="3"/>
  <c r="K65" i="3" s="1"/>
  <c r="E59" i="3"/>
  <c r="F24" i="15"/>
  <c r="G24" i="15"/>
  <c r="H24" i="15"/>
  <c r="E24" i="15"/>
  <c r="AF6" i="2"/>
  <c r="AF7" i="2"/>
  <c r="AF10" i="2"/>
  <c r="AF12" i="2"/>
  <c r="AF15" i="2"/>
  <c r="AF16" i="2" s="1"/>
  <c r="AA8" i="2"/>
  <c r="AA11" i="2"/>
  <c r="T6" i="2"/>
  <c r="T9" i="2"/>
  <c r="S11" i="2"/>
  <c r="S12" i="2"/>
  <c r="S13" i="2"/>
  <c r="H8" i="2"/>
  <c r="F9" i="2"/>
  <c r="G9" i="2" s="1"/>
  <c r="F13" i="2"/>
  <c r="H13" i="2" s="1"/>
  <c r="F15" i="2"/>
  <c r="G17" i="2"/>
  <c r="H16" i="2"/>
  <c r="G21" i="2"/>
  <c r="G25" i="2" s="1"/>
  <c r="G23" i="2"/>
  <c r="F25" i="2"/>
  <c r="H25" i="2"/>
  <c r="G28" i="2"/>
  <c r="H62" i="3" l="1"/>
  <c r="L62" i="3"/>
  <c r="D40" i="44"/>
  <c r="D22" i="41"/>
  <c r="G18" i="2"/>
  <c r="H17" i="2"/>
  <c r="F17" i="2"/>
  <c r="G6" i="2"/>
  <c r="H9" i="2"/>
  <c r="H12" i="2" s="1"/>
  <c r="L29" i="3"/>
  <c r="F32" i="3"/>
  <c r="G32" i="3"/>
  <c r="H32" i="3"/>
  <c r="I32" i="3"/>
  <c r="J32" i="3"/>
  <c r="K32" i="3"/>
  <c r="L32" i="3" s="1"/>
  <c r="E32" i="3"/>
  <c r="L13" i="14"/>
  <c r="F28" i="15"/>
  <c r="G28" i="15"/>
  <c r="H28" i="15"/>
  <c r="F29" i="15"/>
  <c r="G29" i="15"/>
  <c r="H29" i="15"/>
  <c r="F30" i="15"/>
  <c r="G30" i="15"/>
  <c r="H30" i="15"/>
  <c r="I30" i="15"/>
  <c r="F31" i="15"/>
  <c r="G31" i="15"/>
  <c r="H31" i="15"/>
  <c r="E31" i="15"/>
  <c r="E30" i="15"/>
  <c r="E29" i="15"/>
  <c r="E28" i="15"/>
  <c r="I21" i="15"/>
  <c r="I31" i="15" s="1"/>
  <c r="I105" i="5"/>
  <c r="L105" i="5"/>
  <c r="H106" i="5"/>
  <c r="I106" i="5"/>
  <c r="J106" i="5"/>
  <c r="L106" i="5"/>
  <c r="F107" i="5"/>
  <c r="H107" i="5"/>
  <c r="I107" i="5"/>
  <c r="J107" i="5"/>
  <c r="K107" i="5"/>
  <c r="L107" i="5"/>
  <c r="E107" i="5"/>
  <c r="M95" i="5"/>
  <c r="M107" i="5" s="1"/>
  <c r="M96" i="5"/>
  <c r="F93" i="5"/>
  <c r="H93" i="5"/>
  <c r="I93" i="5"/>
  <c r="J93" i="5"/>
  <c r="L93" i="5"/>
  <c r="F94" i="5"/>
  <c r="G94" i="5"/>
  <c r="H94" i="5"/>
  <c r="I94" i="5"/>
  <c r="J94" i="5"/>
  <c r="L94" i="5"/>
  <c r="F95" i="5"/>
  <c r="G95" i="5"/>
  <c r="G107" i="5" s="1"/>
  <c r="H95" i="5"/>
  <c r="I95" i="5"/>
  <c r="J95" i="5"/>
  <c r="K95" i="5"/>
  <c r="L95" i="5"/>
  <c r="E95" i="5"/>
  <c r="E94" i="5"/>
  <c r="E93" i="5"/>
  <c r="M85" i="5"/>
  <c r="K86" i="5"/>
  <c r="K93" i="5" s="1"/>
  <c r="L86" i="5"/>
  <c r="F85" i="5"/>
  <c r="G85" i="5"/>
  <c r="G93" i="5" s="1"/>
  <c r="H85" i="5"/>
  <c r="I85" i="5"/>
  <c r="J85" i="5"/>
  <c r="K85" i="5"/>
  <c r="L85" i="5"/>
  <c r="E85" i="5"/>
  <c r="F45" i="5"/>
  <c r="G45" i="5"/>
  <c r="H45" i="5"/>
  <c r="I45" i="5"/>
  <c r="J45" i="5"/>
  <c r="K45" i="5"/>
  <c r="L45" i="5"/>
  <c r="F46" i="5"/>
  <c r="G46" i="5"/>
  <c r="H46" i="5"/>
  <c r="I46" i="5"/>
  <c r="J46" i="5"/>
  <c r="K46" i="5"/>
  <c r="L46" i="5"/>
  <c r="F47" i="5"/>
  <c r="G47" i="5"/>
  <c r="H47" i="5"/>
  <c r="I47" i="5"/>
  <c r="J47" i="5"/>
  <c r="K47" i="5"/>
  <c r="L47" i="5"/>
  <c r="E47" i="5"/>
  <c r="E46" i="5"/>
  <c r="E45" i="5"/>
  <c r="M38" i="5"/>
  <c r="M46" i="5" s="1"/>
  <c r="M37" i="5"/>
  <c r="K41" i="5"/>
  <c r="J85" i="3"/>
  <c r="J84" i="3"/>
  <c r="E80" i="3"/>
  <c r="K80" i="3" s="1"/>
  <c r="I53" i="3"/>
  <c r="J53" i="3"/>
  <c r="K53" i="3"/>
  <c r="E53" i="3"/>
  <c r="F48" i="3"/>
  <c r="G48" i="3"/>
  <c r="H48" i="3"/>
  <c r="I48" i="3"/>
  <c r="J48" i="3"/>
  <c r="K48" i="3"/>
  <c r="E48" i="3"/>
  <c r="F19" i="3"/>
  <c r="G19" i="3"/>
  <c r="H19" i="3"/>
  <c r="I19" i="3"/>
  <c r="J19" i="3"/>
  <c r="K19" i="3"/>
  <c r="E19" i="3"/>
  <c r="L14" i="3"/>
  <c r="K14" i="3"/>
  <c r="L10" i="14"/>
  <c r="L9" i="14"/>
  <c r="F61" i="5"/>
  <c r="G61" i="5"/>
  <c r="H61" i="5"/>
  <c r="H75" i="5" s="1"/>
  <c r="I61" i="5"/>
  <c r="I75" i="5" s="1"/>
  <c r="J61" i="5"/>
  <c r="J75" i="5" s="1"/>
  <c r="K61" i="5"/>
  <c r="K75" i="5" s="1"/>
  <c r="L61" i="5"/>
  <c r="L75" i="5" s="1"/>
  <c r="E61" i="5"/>
  <c r="H74" i="5"/>
  <c r="H105" i="5" s="1"/>
  <c r="I74" i="5"/>
  <c r="J74" i="5"/>
  <c r="J105" i="5" s="1"/>
  <c r="K74" i="5"/>
  <c r="L74" i="5"/>
  <c r="F21" i="5"/>
  <c r="G21" i="5"/>
  <c r="H21" i="5"/>
  <c r="I21" i="5"/>
  <c r="J21" i="5"/>
  <c r="K21" i="5"/>
  <c r="L21" i="5"/>
  <c r="F22" i="5"/>
  <c r="G22" i="5"/>
  <c r="H22" i="5"/>
  <c r="I22" i="5"/>
  <c r="J22" i="5"/>
  <c r="K22" i="5"/>
  <c r="L22" i="5"/>
  <c r="E22" i="5"/>
  <c r="E21" i="5"/>
  <c r="F67" i="5"/>
  <c r="G67" i="5"/>
  <c r="H67" i="5"/>
  <c r="I67" i="5"/>
  <c r="J67" i="5"/>
  <c r="K67" i="5"/>
  <c r="L67" i="5"/>
  <c r="E67" i="5"/>
  <c r="I15" i="15"/>
  <c r="M14" i="5"/>
  <c r="I74" i="3"/>
  <c r="F85" i="3"/>
  <c r="G85" i="3"/>
  <c r="H85" i="3"/>
  <c r="I85" i="3"/>
  <c r="I42" i="3"/>
  <c r="J42" i="3"/>
  <c r="K42" i="3"/>
  <c r="E42" i="3"/>
  <c r="G42" i="3"/>
  <c r="L8" i="3"/>
  <c r="L7" i="14"/>
  <c r="H42" i="3"/>
  <c r="G10" i="8" l="1"/>
  <c r="M45" i="5"/>
  <c r="K94" i="5"/>
  <c r="M94" i="5" s="1"/>
  <c r="S7" i="2" s="1"/>
  <c r="M47" i="5"/>
  <c r="L80" i="3"/>
  <c r="M80" i="3"/>
  <c r="L48" i="3"/>
  <c r="G75" i="5"/>
  <c r="G106" i="5" s="1"/>
  <c r="F74" i="5"/>
  <c r="F105" i="5" s="1"/>
  <c r="E75" i="5"/>
  <c r="E106" i="5" s="1"/>
  <c r="L18" i="14"/>
  <c r="H10" i="8" s="1"/>
  <c r="L17" i="14"/>
  <c r="G53" i="3"/>
  <c r="G65" i="3" s="1"/>
  <c r="L19" i="3"/>
  <c r="H53" i="3"/>
  <c r="H65" i="3" s="1"/>
  <c r="M67" i="5"/>
  <c r="G74" i="5"/>
  <c r="G105" i="5" s="1"/>
  <c r="F75" i="5"/>
  <c r="F106" i="5" s="1"/>
  <c r="E74" i="5"/>
  <c r="E105" i="5" s="1"/>
  <c r="K105" i="5"/>
  <c r="M93" i="5"/>
  <c r="M86" i="5"/>
  <c r="K106" i="5"/>
  <c r="H20" i="2"/>
  <c r="H27" i="2" s="1"/>
  <c r="H33" i="2" s="1"/>
  <c r="L42" i="3"/>
  <c r="L53" i="3" s="1"/>
  <c r="L65" i="3" s="1"/>
  <c r="F42" i="3"/>
  <c r="F53" i="3" s="1"/>
  <c r="F65" i="3" s="1"/>
  <c r="E74" i="3"/>
  <c r="K74" i="3" s="1"/>
  <c r="K85" i="3" l="1"/>
  <c r="M74" i="3"/>
  <c r="AA7" i="2"/>
  <c r="R7" i="2"/>
  <c r="E85" i="3"/>
  <c r="G7" i="2" l="1"/>
  <c r="F12" i="2"/>
  <c r="F20" i="2" s="1"/>
  <c r="F27" i="2" s="1"/>
  <c r="F33" i="2" s="1"/>
  <c r="AA18" i="2"/>
  <c r="T7" i="2"/>
  <c r="T8" i="2" s="1"/>
  <c r="T29" i="2" s="1"/>
  <c r="L74" i="3"/>
  <c r="G12" i="2" l="1"/>
  <c r="G20" i="2" s="1"/>
  <c r="G27" i="2" s="1"/>
  <c r="G33" i="2" s="1"/>
  <c r="M61" i="5"/>
  <c r="I9" i="15"/>
  <c r="M8" i="5"/>
  <c r="F10" i="8" l="1"/>
  <c r="I29" i="15"/>
  <c r="I28" i="15"/>
  <c r="R9" i="2" s="1"/>
  <c r="E10" i="8"/>
  <c r="M21" i="5"/>
  <c r="M22" i="5"/>
  <c r="M75" i="5"/>
  <c r="M106" i="5" s="1"/>
  <c r="M74" i="5"/>
  <c r="D10" i="8"/>
  <c r="L46" i="46"/>
  <c r="AF19" i="2" l="1"/>
  <c r="S9" i="2"/>
  <c r="R6" i="2"/>
  <c r="M105" i="5"/>
  <c r="J27" i="46"/>
  <c r="D41" i="46"/>
  <c r="AA17" i="2" l="1"/>
  <c r="AA19" i="2" s="1"/>
  <c r="AA23" i="2" s="1"/>
  <c r="S6" i="2"/>
  <c r="R8" i="2"/>
  <c r="R29" i="2" s="1"/>
  <c r="I79" i="46"/>
  <c r="G7" i="46"/>
  <c r="S8" i="2" l="1"/>
  <c r="S29" i="2" s="1"/>
  <c r="AB19" i="2"/>
  <c r="AB23" i="2" s="1"/>
  <c r="L74" i="46"/>
  <c r="E17" i="20" l="1"/>
  <c r="D17" i="20"/>
  <c r="C17" i="20"/>
  <c r="M18" i="19"/>
  <c r="M13" i="19"/>
  <c r="E7" i="2" l="1"/>
  <c r="D86" i="46" l="1"/>
  <c r="D78" i="46" l="1"/>
  <c r="D79" i="46"/>
  <c r="L47" i="46" l="1"/>
  <c r="J74" i="46"/>
  <c r="J72" i="46"/>
  <c r="J71" i="46"/>
  <c r="J70" i="46"/>
  <c r="J69" i="46"/>
  <c r="J68" i="46"/>
  <c r="J67" i="46"/>
  <c r="J66" i="46"/>
  <c r="J65" i="46"/>
  <c r="J64" i="46"/>
  <c r="J63" i="46"/>
  <c r="J62" i="46"/>
  <c r="J61" i="46"/>
  <c r="J60" i="46"/>
  <c r="J59" i="46"/>
  <c r="J58" i="46"/>
  <c r="J57" i="46"/>
  <c r="J56" i="46"/>
  <c r="J55" i="46"/>
  <c r="J54" i="46"/>
  <c r="J53" i="46"/>
  <c r="J52" i="46"/>
  <c r="J51" i="46"/>
  <c r="J50" i="46"/>
  <c r="J49" i="46"/>
  <c r="J48" i="46"/>
  <c r="J47" i="46"/>
  <c r="J46" i="46"/>
  <c r="G74" i="46"/>
  <c r="F46" i="46"/>
  <c r="I46" i="46"/>
  <c r="E72" i="46"/>
  <c r="D72" i="46"/>
  <c r="I71" i="46"/>
  <c r="E71" i="46"/>
  <c r="E70" i="46"/>
  <c r="I69" i="46"/>
  <c r="E69" i="46"/>
  <c r="I68" i="46"/>
  <c r="E68" i="46"/>
  <c r="E67" i="46"/>
  <c r="D67" i="46"/>
  <c r="E66" i="46"/>
  <c r="E65" i="46"/>
  <c r="D65" i="46"/>
  <c r="E64" i="46"/>
  <c r="D64" i="46"/>
  <c r="I63" i="46"/>
  <c r="E63" i="46"/>
  <c r="E62" i="46"/>
  <c r="I61" i="46"/>
  <c r="E61" i="46"/>
  <c r="I60" i="46"/>
  <c r="E60" i="46"/>
  <c r="E59" i="46"/>
  <c r="D59" i="46"/>
  <c r="E58" i="46"/>
  <c r="E57" i="46"/>
  <c r="D57" i="46"/>
  <c r="E56" i="46"/>
  <c r="D56" i="46"/>
  <c r="I55" i="46"/>
  <c r="E55" i="46"/>
  <c r="E54" i="46"/>
  <c r="I53" i="46"/>
  <c r="E53" i="46"/>
  <c r="I52" i="46"/>
  <c r="E52" i="46"/>
  <c r="E51" i="46"/>
  <c r="D51" i="46"/>
  <c r="E50" i="46"/>
  <c r="E49" i="46"/>
  <c r="D49" i="46"/>
  <c r="E48" i="46"/>
  <c r="D48" i="46"/>
  <c r="E47" i="46"/>
  <c r="E46" i="46"/>
  <c r="E74" i="46" s="1"/>
  <c r="D46" i="46"/>
  <c r="M45" i="46"/>
  <c r="C40" i="46"/>
  <c r="D69" i="46" s="1"/>
  <c r="F39" i="46"/>
  <c r="E39" i="46"/>
  <c r="D39" i="46"/>
  <c r="F72" i="46" s="1"/>
  <c r="H72" i="46" s="1"/>
  <c r="F38" i="46"/>
  <c r="E38" i="46"/>
  <c r="D38" i="46"/>
  <c r="K37" i="46"/>
  <c r="F37" i="46"/>
  <c r="E37" i="46"/>
  <c r="D37" i="46"/>
  <c r="F36" i="46"/>
  <c r="E36" i="46"/>
  <c r="D36" i="46"/>
  <c r="F69" i="46" s="1"/>
  <c r="H69" i="46" s="1"/>
  <c r="F35" i="46"/>
  <c r="E35" i="46"/>
  <c r="D35" i="46"/>
  <c r="F34" i="46"/>
  <c r="E34" i="46"/>
  <c r="D34" i="46"/>
  <c r="F67" i="46" s="1"/>
  <c r="H67" i="46" s="1"/>
  <c r="F33" i="46"/>
  <c r="E33" i="46"/>
  <c r="D33" i="46"/>
  <c r="F32" i="46"/>
  <c r="E32" i="46"/>
  <c r="F65" i="46" s="1"/>
  <c r="H65" i="46" s="1"/>
  <c r="D32" i="46"/>
  <c r="F31" i="46"/>
  <c r="E31" i="46"/>
  <c r="D31" i="46"/>
  <c r="F64" i="46" s="1"/>
  <c r="H64" i="46" s="1"/>
  <c r="F30" i="46"/>
  <c r="E30" i="46"/>
  <c r="D30" i="46"/>
  <c r="M29" i="46"/>
  <c r="F29" i="46"/>
  <c r="E29" i="46"/>
  <c r="D29" i="46"/>
  <c r="F28" i="46"/>
  <c r="E28" i="46"/>
  <c r="D28" i="46"/>
  <c r="F27" i="46"/>
  <c r="E27" i="46"/>
  <c r="D27" i="46"/>
  <c r="F26" i="46"/>
  <c r="E26" i="46"/>
  <c r="D26" i="46"/>
  <c r="F59" i="46" s="1"/>
  <c r="H59" i="46" s="1"/>
  <c r="F25" i="46"/>
  <c r="E25" i="46"/>
  <c r="D25" i="46"/>
  <c r="F24" i="46"/>
  <c r="E24" i="46"/>
  <c r="D24" i="46"/>
  <c r="F57" i="46" s="1"/>
  <c r="H57" i="46" s="1"/>
  <c r="F23" i="46"/>
  <c r="E23" i="46"/>
  <c r="D23" i="46"/>
  <c r="F56" i="46" s="1"/>
  <c r="H56" i="46" s="1"/>
  <c r="F22" i="46"/>
  <c r="E22" i="46"/>
  <c r="D22" i="46"/>
  <c r="F21" i="46"/>
  <c r="E21" i="46"/>
  <c r="D21" i="46"/>
  <c r="F20" i="46"/>
  <c r="E20" i="46"/>
  <c r="D20" i="46"/>
  <c r="F19" i="46"/>
  <c r="E19" i="46"/>
  <c r="D19" i="46"/>
  <c r="F18" i="46"/>
  <c r="E18" i="46"/>
  <c r="D18" i="46"/>
  <c r="F51" i="46" s="1"/>
  <c r="H51" i="46" s="1"/>
  <c r="F17" i="46"/>
  <c r="E17" i="46"/>
  <c r="D17" i="46"/>
  <c r="F16" i="46"/>
  <c r="E16" i="46"/>
  <c r="D16" i="46"/>
  <c r="F49" i="46" s="1"/>
  <c r="H49" i="46" s="1"/>
  <c r="F15" i="46"/>
  <c r="E15" i="46"/>
  <c r="D15" i="46"/>
  <c r="F48" i="46" s="1"/>
  <c r="H48" i="46" s="1"/>
  <c r="F14" i="46"/>
  <c r="E14" i="46"/>
  <c r="D14" i="46"/>
  <c r="F13" i="46"/>
  <c r="F41" i="46" s="1"/>
  <c r="M32" i="46" s="1"/>
  <c r="E13" i="46"/>
  <c r="E41" i="46" s="1"/>
  <c r="D13" i="46"/>
  <c r="G6" i="46"/>
  <c r="G5" i="46"/>
  <c r="G4" i="46"/>
  <c r="G15" i="19"/>
  <c r="B14" i="19"/>
  <c r="L13" i="19"/>
  <c r="M12" i="19"/>
  <c r="J12" i="19"/>
  <c r="G12" i="19"/>
  <c r="D12" i="19"/>
  <c r="L12" i="19"/>
  <c r="K12" i="19"/>
  <c r="I12" i="19"/>
  <c r="H12" i="19"/>
  <c r="F12" i="19"/>
  <c r="E12" i="19"/>
  <c r="C12" i="19"/>
  <c r="B12" i="19"/>
  <c r="H11" i="19"/>
  <c r="D9" i="19"/>
  <c r="B9" i="19"/>
  <c r="N7" i="19"/>
  <c r="M9" i="19"/>
  <c r="L9" i="19"/>
  <c r="K9" i="19"/>
  <c r="J9" i="19"/>
  <c r="I9" i="19"/>
  <c r="H9" i="19"/>
  <c r="G9" i="19"/>
  <c r="F9" i="19"/>
  <c r="E9" i="19"/>
  <c r="N5" i="19"/>
  <c r="J6" i="46" l="1"/>
  <c r="I5" i="46"/>
  <c r="G8" i="46"/>
  <c r="I6" i="46" s="1"/>
  <c r="I7" i="46" s="1"/>
  <c r="H8" i="46"/>
  <c r="D77" i="46"/>
  <c r="M33" i="46"/>
  <c r="M38" i="46" s="1"/>
  <c r="F52" i="46"/>
  <c r="H52" i="46" s="1"/>
  <c r="F60" i="46"/>
  <c r="H60" i="46" s="1"/>
  <c r="H6" i="46"/>
  <c r="D47" i="46"/>
  <c r="F47" i="46" s="1"/>
  <c r="H47" i="46" s="1"/>
  <c r="D50" i="46"/>
  <c r="F50" i="46" s="1"/>
  <c r="H50" i="46" s="1"/>
  <c r="I54" i="46"/>
  <c r="D58" i="46"/>
  <c r="F58" i="46" s="1"/>
  <c r="H58" i="46" s="1"/>
  <c r="I62" i="46"/>
  <c r="D66" i="46"/>
  <c r="F66" i="46" s="1"/>
  <c r="H66" i="46" s="1"/>
  <c r="I70" i="46"/>
  <c r="I48" i="46"/>
  <c r="I51" i="46"/>
  <c r="D55" i="46"/>
  <c r="F55" i="46" s="1"/>
  <c r="H55" i="46" s="1"/>
  <c r="I59" i="46"/>
  <c r="D63" i="46"/>
  <c r="F63" i="46" s="1"/>
  <c r="H63" i="46" s="1"/>
  <c r="I67" i="46"/>
  <c r="D71" i="46"/>
  <c r="F71" i="46" s="1"/>
  <c r="H71" i="46" s="1"/>
  <c r="D52" i="46"/>
  <c r="I56" i="46"/>
  <c r="D60" i="46"/>
  <c r="I64" i="46"/>
  <c r="D68" i="46"/>
  <c r="F68" i="46" s="1"/>
  <c r="H68" i="46" s="1"/>
  <c r="I72" i="46"/>
  <c r="I47" i="46"/>
  <c r="I50" i="46"/>
  <c r="D54" i="46"/>
  <c r="F54" i="46" s="1"/>
  <c r="H54" i="46" s="1"/>
  <c r="I58" i="46"/>
  <c r="D62" i="46"/>
  <c r="F62" i="46" s="1"/>
  <c r="H62" i="46" s="1"/>
  <c r="I66" i="46"/>
  <c r="D70" i="46"/>
  <c r="F70" i="46" s="1"/>
  <c r="H70" i="46" s="1"/>
  <c r="I49" i="46"/>
  <c r="D53" i="46"/>
  <c r="F53" i="46" s="1"/>
  <c r="H53" i="46" s="1"/>
  <c r="I57" i="46"/>
  <c r="D61" i="46"/>
  <c r="F61" i="46" s="1"/>
  <c r="H61" i="46" s="1"/>
  <c r="I65" i="46"/>
  <c r="J7" i="46" l="1"/>
  <c r="L6" i="46"/>
  <c r="D80" i="46"/>
  <c r="H46" i="46"/>
  <c r="F74" i="46"/>
  <c r="D74" i="46"/>
  <c r="I74" i="46"/>
  <c r="I75" i="46" l="1"/>
  <c r="M40" i="46"/>
  <c r="M35" i="46"/>
  <c r="M34" i="46"/>
  <c r="M36" i="46" s="1"/>
  <c r="B85" i="46"/>
  <c r="B86" i="46" s="1"/>
  <c r="D75" i="46"/>
  <c r="M39" i="46"/>
  <c r="H74" i="46"/>
  <c r="M41" i="46" l="1"/>
  <c r="M48" i="46" s="1"/>
  <c r="I19" i="15" l="1"/>
  <c r="N12" i="3"/>
  <c r="N6" i="3"/>
  <c r="H84" i="3"/>
  <c r="I84" i="3" l="1"/>
  <c r="K58" i="3"/>
  <c r="N28" i="3"/>
  <c r="F99" i="34" l="1"/>
  <c r="G99" i="34"/>
  <c r="H99" i="34"/>
  <c r="E99" i="34"/>
  <c r="A5" i="34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P10" i="19" l="1"/>
  <c r="N2" i="3"/>
  <c r="M12" i="3"/>
  <c r="M6" i="3"/>
  <c r="E6" i="2"/>
  <c r="C9" i="44" l="1"/>
  <c r="F58" i="3"/>
  <c r="F61" i="3" s="1"/>
  <c r="G58" i="3"/>
  <c r="G61" i="3" s="1"/>
  <c r="I58" i="3"/>
  <c r="I61" i="3" s="1"/>
  <c r="J58" i="3"/>
  <c r="J61" i="3" s="1"/>
  <c r="E58" i="3"/>
  <c r="E61" i="3" s="1"/>
  <c r="H46" i="3"/>
  <c r="I46" i="3"/>
  <c r="J46" i="3"/>
  <c r="K46" i="3"/>
  <c r="E46" i="3"/>
  <c r="H40" i="3"/>
  <c r="I40" i="3"/>
  <c r="J40" i="3"/>
  <c r="E40" i="3"/>
  <c r="J52" i="3" l="1"/>
  <c r="J64" i="3" s="1"/>
  <c r="I52" i="3"/>
  <c r="H52" i="3"/>
  <c r="I64" i="3"/>
  <c r="F46" i="3"/>
  <c r="F40" i="3"/>
  <c r="F16" i="14"/>
  <c r="G16" i="14"/>
  <c r="H16" i="14"/>
  <c r="I16" i="14"/>
  <c r="J16" i="14"/>
  <c r="F15" i="14"/>
  <c r="C14" i="2" s="1"/>
  <c r="G15" i="14"/>
  <c r="H15" i="14"/>
  <c r="I15" i="14"/>
  <c r="J15" i="14"/>
  <c r="E15" i="14"/>
  <c r="F83" i="5"/>
  <c r="F89" i="5" s="1"/>
  <c r="I13" i="15"/>
  <c r="H102" i="5"/>
  <c r="I102" i="5"/>
  <c r="F90" i="5"/>
  <c r="G90" i="5"/>
  <c r="H90" i="5"/>
  <c r="I90" i="5"/>
  <c r="J90" i="5"/>
  <c r="H71" i="5"/>
  <c r="I71" i="5"/>
  <c r="K71" i="5"/>
  <c r="L71" i="5"/>
  <c r="F84" i="5"/>
  <c r="G84" i="5"/>
  <c r="H84" i="5"/>
  <c r="I84" i="5"/>
  <c r="J84" i="5"/>
  <c r="K84" i="5"/>
  <c r="L84" i="5"/>
  <c r="L90" i="5" s="1"/>
  <c r="L102" i="5" s="1"/>
  <c r="E84" i="5"/>
  <c r="G83" i="5"/>
  <c r="G89" i="5" s="1"/>
  <c r="G91" i="5" s="1"/>
  <c r="H83" i="5"/>
  <c r="H89" i="5" s="1"/>
  <c r="J83" i="5"/>
  <c r="J89" i="5" s="1"/>
  <c r="J91" i="5" s="1"/>
  <c r="K83" i="5"/>
  <c r="L83" i="5"/>
  <c r="F65" i="5"/>
  <c r="G65" i="5"/>
  <c r="H65" i="5"/>
  <c r="I65" i="5"/>
  <c r="J65" i="5"/>
  <c r="K65" i="5"/>
  <c r="L65" i="5"/>
  <c r="E65" i="5"/>
  <c r="F59" i="5"/>
  <c r="G59" i="5"/>
  <c r="H59" i="5"/>
  <c r="I59" i="5"/>
  <c r="J59" i="5"/>
  <c r="K59" i="5"/>
  <c r="L59" i="5"/>
  <c r="E59" i="5"/>
  <c r="F19" i="5"/>
  <c r="G19" i="5"/>
  <c r="H19" i="5"/>
  <c r="I19" i="5"/>
  <c r="J19" i="5"/>
  <c r="K19" i="5"/>
  <c r="L19" i="5"/>
  <c r="F18" i="5"/>
  <c r="G18" i="5"/>
  <c r="H18" i="5"/>
  <c r="I18" i="5"/>
  <c r="J18" i="5"/>
  <c r="K18" i="5"/>
  <c r="L18" i="5"/>
  <c r="L89" i="5" l="1"/>
  <c r="J71" i="5"/>
  <c r="J101" i="5" s="1"/>
  <c r="K89" i="5"/>
  <c r="K101" i="5" s="1"/>
  <c r="P18" i="19" s="1"/>
  <c r="L101" i="5"/>
  <c r="L103" i="5" s="1"/>
  <c r="L91" i="5"/>
  <c r="B13" i="20"/>
  <c r="P7" i="19"/>
  <c r="Q7" i="19" s="1"/>
  <c r="K90" i="5"/>
  <c r="K102" i="5" s="1"/>
  <c r="H91" i="5"/>
  <c r="H101" i="5"/>
  <c r="P15" i="19" s="1"/>
  <c r="G71" i="5"/>
  <c r="G101" i="5" s="1"/>
  <c r="F71" i="5"/>
  <c r="F101" i="5" s="1"/>
  <c r="P12" i="19" s="1"/>
  <c r="F52" i="3"/>
  <c r="F64" i="3" s="1"/>
  <c r="F91" i="5"/>
  <c r="P14" i="19" l="1"/>
  <c r="O14" i="19"/>
  <c r="P13" i="19"/>
  <c r="K91" i="5"/>
  <c r="K103" i="5"/>
  <c r="H103" i="5"/>
  <c r="A7" i="1" l="1"/>
  <c r="A9" i="1" s="1"/>
  <c r="A11" i="1" s="1"/>
  <c r="A13" i="1" s="1"/>
  <c r="A15" i="1" s="1"/>
  <c r="A17" i="1" s="1"/>
  <c r="A19" i="1" s="1"/>
  <c r="A21" i="1" s="1"/>
  <c r="A23" i="1" s="1"/>
  <c r="A25" i="1" s="1"/>
  <c r="A27" i="1" s="1"/>
  <c r="A29" i="1" s="1"/>
  <c r="A31" i="1" s="1"/>
  <c r="A33" i="1" s="1"/>
  <c r="A35" i="1" s="1"/>
  <c r="A37" i="1" s="1"/>
  <c r="A39" i="1" s="1"/>
  <c r="A41" i="1" s="1"/>
  <c r="A43" i="1" s="1"/>
  <c r="A45" i="1" s="1"/>
  <c r="A47" i="1" s="1"/>
  <c r="A49" i="1" s="1"/>
  <c r="A51" i="1" s="1"/>
  <c r="E90" i="5" l="1"/>
  <c r="L72" i="5"/>
  <c r="K72" i="5"/>
  <c r="K73" i="5" s="1"/>
  <c r="I72" i="5"/>
  <c r="H72" i="5"/>
  <c r="I73" i="5"/>
  <c r="B16" i="43"/>
  <c r="B30" i="43" s="1"/>
  <c r="C39" i="44"/>
  <c r="L73" i="5" l="1"/>
  <c r="H73" i="5"/>
  <c r="E71" i="5"/>
  <c r="J72" i="5"/>
  <c r="J102" i="5" s="1"/>
  <c r="J103" i="5" s="1"/>
  <c r="E72" i="5"/>
  <c r="E102" i="5" s="1"/>
  <c r="G72" i="5"/>
  <c r="G102" i="5" s="1"/>
  <c r="G103" i="5" s="1"/>
  <c r="F72" i="5"/>
  <c r="F102" i="5" s="1"/>
  <c r="F103" i="5" s="1"/>
  <c r="C40" i="44"/>
  <c r="J73" i="5" l="1"/>
  <c r="E73" i="5"/>
  <c r="G73" i="5"/>
  <c r="F73" i="5"/>
  <c r="E16" i="14" l="1"/>
  <c r="H27" i="15" l="1"/>
  <c r="G27" i="15"/>
  <c r="E27" i="15"/>
  <c r="H25" i="15"/>
  <c r="G25" i="15"/>
  <c r="J43" i="5"/>
  <c r="L42" i="5"/>
  <c r="J42" i="5"/>
  <c r="I42" i="5"/>
  <c r="H42" i="5"/>
  <c r="G42" i="5"/>
  <c r="F42" i="5"/>
  <c r="E42" i="5"/>
  <c r="K42" i="5"/>
  <c r="I83" i="5"/>
  <c r="I89" i="5" s="1"/>
  <c r="E83" i="5"/>
  <c r="E89" i="5" s="1"/>
  <c r="I20" i="5"/>
  <c r="L20" i="5"/>
  <c r="K20" i="5"/>
  <c r="H20" i="5"/>
  <c r="J18" i="3"/>
  <c r="I18" i="3"/>
  <c r="E72" i="3"/>
  <c r="E78" i="3"/>
  <c r="D16" i="43"/>
  <c r="D30" i="43" s="1"/>
  <c r="C16" i="43"/>
  <c r="C11" i="43"/>
  <c r="C30" i="43" s="1"/>
  <c r="E84" i="3" l="1"/>
  <c r="E91" i="5"/>
  <c r="E101" i="5"/>
  <c r="P11" i="19" s="1"/>
  <c r="I101" i="5"/>
  <c r="I91" i="5"/>
  <c r="M6" i="5"/>
  <c r="E52" i="3"/>
  <c r="K16" i="14"/>
  <c r="I27" i="15"/>
  <c r="F27" i="15"/>
  <c r="E18" i="5"/>
  <c r="E19" i="5"/>
  <c r="H18" i="3"/>
  <c r="M12" i="5"/>
  <c r="P12" i="5" s="1"/>
  <c r="E18" i="3"/>
  <c r="F18" i="3"/>
  <c r="P16" i="19" l="1"/>
  <c r="O16" i="19"/>
  <c r="C8" i="8"/>
  <c r="M65" i="5"/>
  <c r="I103" i="5"/>
  <c r="E103" i="5"/>
  <c r="M59" i="5"/>
  <c r="M19" i="5"/>
  <c r="M18" i="5"/>
  <c r="E64" i="3"/>
  <c r="C6" i="2" s="1"/>
  <c r="P5" i="19" s="1"/>
  <c r="G20" i="5"/>
  <c r="J20" i="5"/>
  <c r="Q14" i="19"/>
  <c r="R14" i="19" s="1"/>
  <c r="B27" i="20"/>
  <c r="F20" i="5"/>
  <c r="E20" i="5"/>
  <c r="M71" i="5" l="1"/>
  <c r="O6" i="2" s="1"/>
  <c r="M72" i="5"/>
  <c r="M73" i="5" l="1"/>
  <c r="I41" i="5"/>
  <c r="J41" i="5"/>
  <c r="L41" i="5"/>
  <c r="L43" i="5" s="1"/>
  <c r="AE15" i="2"/>
  <c r="I43" i="5" l="1"/>
  <c r="Q16" i="19"/>
  <c r="B29" i="20"/>
  <c r="K43" i="5"/>
  <c r="B31" i="20"/>
  <c r="Q18" i="19"/>
  <c r="M20" i="5" l="1"/>
  <c r="N17" i="19" l="1"/>
  <c r="N13" i="19" l="1"/>
  <c r="O13" i="19" s="1"/>
  <c r="K19" i="19" l="1"/>
  <c r="N18" i="19"/>
  <c r="O18" i="19" s="1"/>
  <c r="N16" i="19"/>
  <c r="N15" i="19"/>
  <c r="O15" i="19" s="1"/>
  <c r="N14" i="19"/>
  <c r="B19" i="19"/>
  <c r="J19" i="19"/>
  <c r="F19" i="19"/>
  <c r="N6" i="19"/>
  <c r="M35" i="5"/>
  <c r="M83" i="5" s="1"/>
  <c r="G31" i="3"/>
  <c r="I31" i="3"/>
  <c r="C8" i="2" s="1"/>
  <c r="E25" i="2"/>
  <c r="C16" i="2" l="1"/>
  <c r="G26" i="15"/>
  <c r="G19" i="19"/>
  <c r="N11" i="19"/>
  <c r="O11" i="19" s="1"/>
  <c r="C19" i="19"/>
  <c r="E19" i="19"/>
  <c r="I19" i="19"/>
  <c r="M19" i="19"/>
  <c r="D19" i="19"/>
  <c r="H19" i="19"/>
  <c r="L19" i="19"/>
  <c r="P13" i="2"/>
  <c r="P11" i="2"/>
  <c r="L12" i="14"/>
  <c r="L16" i="14" l="1"/>
  <c r="B15" i="20"/>
  <c r="C15" i="20" s="1"/>
  <c r="E16" i="2"/>
  <c r="AG10" i="2" s="1"/>
  <c r="AE10" i="2"/>
  <c r="E8" i="2"/>
  <c r="B8" i="20"/>
  <c r="Z8" i="2"/>
  <c r="N12" i="19"/>
  <c r="O12" i="19" s="1"/>
  <c r="P12" i="2"/>
  <c r="K61" i="3" l="1"/>
  <c r="D15" i="20"/>
  <c r="C16" i="20"/>
  <c r="N19" i="19"/>
  <c r="AE16" i="2"/>
  <c r="D21" i="2"/>
  <c r="E15" i="20" l="1"/>
  <c r="D16" i="20"/>
  <c r="E16" i="20" l="1"/>
  <c r="J31" i="3" l="1"/>
  <c r="D11" i="2" l="1"/>
  <c r="Z11" i="2"/>
  <c r="B10" i="20"/>
  <c r="K40" i="3" l="1"/>
  <c r="K52" i="3" s="1"/>
  <c r="K64" i="3" s="1"/>
  <c r="Z14" i="2" l="1"/>
  <c r="C19" i="2"/>
  <c r="AE12" i="2" l="1"/>
  <c r="B18" i="20"/>
  <c r="R16" i="19" l="1"/>
  <c r="R18" i="19" l="1"/>
  <c r="E14" i="2" l="1"/>
  <c r="AE7" i="2"/>
  <c r="Q6" i="2" l="1"/>
  <c r="D28" i="2" l="1"/>
  <c r="Q5" i="19" l="1"/>
  <c r="Z17" i="2"/>
  <c r="P6" i="2"/>
  <c r="H26" i="15" l="1"/>
  <c r="C25" i="2" l="1"/>
  <c r="D23" i="2"/>
  <c r="D25" i="2" s="1"/>
  <c r="C15" i="2" l="1"/>
  <c r="B14" i="20" l="1"/>
  <c r="D15" i="2"/>
  <c r="AE8" i="2"/>
  <c r="D17" i="2" l="1"/>
  <c r="AF8" i="2"/>
  <c r="AF11" i="2" s="1"/>
  <c r="AF13" i="2" s="1"/>
  <c r="E41" i="5"/>
  <c r="E43" i="5" l="1"/>
  <c r="B24" i="20"/>
  <c r="C24" i="20" s="1"/>
  <c r="D24" i="20" s="1"/>
  <c r="E24" i="20" s="1"/>
  <c r="Q11" i="19"/>
  <c r="F41" i="5"/>
  <c r="F43" i="5" l="1"/>
  <c r="B25" i="20"/>
  <c r="C25" i="20" s="1"/>
  <c r="D25" i="20" s="1"/>
  <c r="E25" i="20" s="1"/>
  <c r="Q12" i="19"/>
  <c r="R11" i="19" l="1"/>
  <c r="S11" i="19"/>
  <c r="T11" i="19" s="1"/>
  <c r="R12" i="19"/>
  <c r="S12" i="19"/>
  <c r="T12" i="19" s="1"/>
  <c r="F25" i="15" l="1"/>
  <c r="I7" i="15"/>
  <c r="I24" i="15" s="1"/>
  <c r="E25" i="15"/>
  <c r="P6" i="5" l="1"/>
  <c r="C7" i="8"/>
  <c r="K15" i="14"/>
  <c r="F26" i="15"/>
  <c r="E26" i="15"/>
  <c r="I25" i="15" l="1"/>
  <c r="I26" i="15" s="1"/>
  <c r="Q9" i="2" s="1"/>
  <c r="P17" i="19"/>
  <c r="C18" i="2"/>
  <c r="O9" i="2"/>
  <c r="AE19" i="2" s="1"/>
  <c r="B30" i="20"/>
  <c r="L6" i="14"/>
  <c r="L15" i="14" s="1"/>
  <c r="M36" i="5"/>
  <c r="Q17" i="19"/>
  <c r="C8" i="19" l="1"/>
  <c r="P8" i="19"/>
  <c r="P19" i="19"/>
  <c r="O17" i="19"/>
  <c r="O19" i="19" s="1"/>
  <c r="D18" i="2"/>
  <c r="M84" i="5"/>
  <c r="M90" i="5" s="1"/>
  <c r="M102" i="5" s="1"/>
  <c r="P36" i="5"/>
  <c r="P7" i="2"/>
  <c r="M42" i="5"/>
  <c r="R17" i="19"/>
  <c r="S17" i="19"/>
  <c r="O36" i="5"/>
  <c r="P9" i="2"/>
  <c r="AF26" i="2" s="1"/>
  <c r="M89" i="5" l="1"/>
  <c r="O7" i="2" s="1"/>
  <c r="C9" i="19"/>
  <c r="N8" i="19"/>
  <c r="Q8" i="19" s="1"/>
  <c r="K18" i="3"/>
  <c r="K31" i="3"/>
  <c r="M91" i="5" l="1"/>
  <c r="M101" i="5"/>
  <c r="M103" i="5" s="1"/>
  <c r="O9" i="19"/>
  <c r="N9" i="19"/>
  <c r="B17" i="20"/>
  <c r="C13" i="2"/>
  <c r="P101" i="5" l="1"/>
  <c r="R8" i="19"/>
  <c r="O8" i="19"/>
  <c r="AE6" i="2"/>
  <c r="AE11" i="2" s="1"/>
  <c r="C17" i="2"/>
  <c r="B12" i="20"/>
  <c r="B16" i="20" s="1"/>
  <c r="E13" i="2"/>
  <c r="E31" i="3"/>
  <c r="S5" i="19" s="1"/>
  <c r="E17" i="2" l="1"/>
  <c r="AG6" i="2"/>
  <c r="AG11" i="2" s="1"/>
  <c r="AE13" i="2"/>
  <c r="AE26" i="2"/>
  <c r="Z6" i="2"/>
  <c r="AG13" i="2" l="1"/>
  <c r="AG26" i="2"/>
  <c r="B6" i="20"/>
  <c r="C6" i="20" s="1"/>
  <c r="D6" i="2"/>
  <c r="O5" i="19"/>
  <c r="D6" i="20" l="1"/>
  <c r="F31" i="3"/>
  <c r="E6" i="20" l="1"/>
  <c r="C9" i="2"/>
  <c r="Z9" i="2" l="1"/>
  <c r="B9" i="20"/>
  <c r="D9" i="2"/>
  <c r="AA9" i="2" s="1"/>
  <c r="AA12" i="2" s="1"/>
  <c r="AA15" i="2" s="1"/>
  <c r="AA27" i="2" s="1"/>
  <c r="K21" i="19" l="1"/>
  <c r="J21" i="19"/>
  <c r="B21" i="19"/>
  <c r="B22" i="19" s="1"/>
  <c r="I21" i="19"/>
  <c r="L21" i="19"/>
  <c r="H21" i="19"/>
  <c r="G21" i="19"/>
  <c r="F21" i="19"/>
  <c r="M21" i="19"/>
  <c r="E21" i="19"/>
  <c r="E9" i="2"/>
  <c r="E12" i="2" l="1"/>
  <c r="E20" i="2" s="1"/>
  <c r="E27" i="2" s="1"/>
  <c r="AB9" i="2"/>
  <c r="AB12" i="2" s="1"/>
  <c r="AB15" i="2" s="1"/>
  <c r="AB27" i="2" s="1"/>
  <c r="AB29" i="2" s="1"/>
  <c r="G41" i="5" l="1"/>
  <c r="G43" i="5" l="1"/>
  <c r="B26" i="20"/>
  <c r="C26" i="20" s="1"/>
  <c r="Q13" i="19"/>
  <c r="R13" i="19" s="1"/>
  <c r="D26" i="20" l="1"/>
  <c r="E26" i="20" s="1"/>
  <c r="H41" i="5"/>
  <c r="H43" i="5" l="1"/>
  <c r="Q15" i="19"/>
  <c r="R15" i="19" s="1"/>
  <c r="B28" i="20"/>
  <c r="M41" i="5"/>
  <c r="P41" i="5"/>
  <c r="O41" i="5"/>
  <c r="Q7" i="2" l="1"/>
  <c r="C9" i="8"/>
  <c r="M43" i="5"/>
  <c r="Q19" i="19"/>
  <c r="B32" i="20"/>
  <c r="C10" i="8" l="1"/>
  <c r="Q8" i="2"/>
  <c r="Q29" i="2" s="1"/>
  <c r="C32" i="20"/>
  <c r="O35" i="2"/>
  <c r="O8" i="2"/>
  <c r="Z18" i="2"/>
  <c r="Z19" i="2" s="1"/>
  <c r="Z23" i="2" s="1"/>
  <c r="P8" i="2" l="1"/>
  <c r="P29" i="2" s="1"/>
  <c r="E32" i="20"/>
  <c r="D32" i="20"/>
  <c r="O29" i="2"/>
  <c r="O36" i="2"/>
  <c r="R19" i="19" l="1"/>
  <c r="S19" i="19" s="1"/>
  <c r="B33" i="20"/>
  <c r="D21" i="19" l="1"/>
  <c r="R5" i="19"/>
  <c r="C21" i="19"/>
  <c r="C22" i="19" s="1"/>
  <c r="D22" i="19" l="1"/>
  <c r="E22" i="19" s="1"/>
  <c r="F22" i="19" s="1"/>
  <c r="G22" i="19" s="1"/>
  <c r="H22" i="19" s="1"/>
  <c r="I22" i="19" s="1"/>
  <c r="J22" i="19" s="1"/>
  <c r="K22" i="19" s="1"/>
  <c r="L22" i="19" s="1"/>
  <c r="M22" i="19" s="1"/>
  <c r="N21" i="19" l="1"/>
  <c r="D16" i="44" l="1"/>
  <c r="K78" i="3" l="1"/>
  <c r="F84" i="3" l="1"/>
  <c r="H58" i="3"/>
  <c r="L28" i="3"/>
  <c r="O28" i="3" l="1"/>
  <c r="L31" i="3"/>
  <c r="L58" i="3"/>
  <c r="L61" i="3" s="1"/>
  <c r="H61" i="3"/>
  <c r="H64" i="3" s="1"/>
  <c r="P9" i="19" l="1"/>
  <c r="G46" i="3" l="1"/>
  <c r="L12" i="3"/>
  <c r="O12" i="3" l="1"/>
  <c r="N3" i="3"/>
  <c r="L46" i="3"/>
  <c r="G84" i="3" l="1"/>
  <c r="D13" i="44" l="1"/>
  <c r="C30" i="44"/>
  <c r="I68" i="3"/>
  <c r="K72" i="3"/>
  <c r="K84" i="3" s="1"/>
  <c r="G40" i="3" l="1"/>
  <c r="L6" i="3"/>
  <c r="G18" i="3"/>
  <c r="G21" i="3" l="1"/>
  <c r="C7" i="2"/>
  <c r="O6" i="3"/>
  <c r="L18" i="3"/>
  <c r="L40" i="3"/>
  <c r="G52" i="3"/>
  <c r="G64" i="3" s="1"/>
  <c r="L52" i="3" l="1"/>
  <c r="L64" i="3" s="1"/>
  <c r="P64" i="3"/>
  <c r="D7" i="2"/>
  <c r="D12" i="2" s="1"/>
  <c r="D20" i="2" s="1"/>
  <c r="D27" i="2" s="1"/>
  <c r="D36" i="2" s="1"/>
  <c r="C12" i="2"/>
  <c r="B7" i="20"/>
  <c r="Z7" i="2"/>
  <c r="P6" i="19"/>
  <c r="Q6" i="19" s="1"/>
  <c r="O6" i="19"/>
  <c r="C20" i="2" l="1"/>
  <c r="C27" i="2" s="1"/>
  <c r="Z12" i="2"/>
  <c r="C7" i="20"/>
  <c r="B11" i="20"/>
  <c r="B19" i="20" s="1"/>
  <c r="B21" i="20" s="1"/>
  <c r="Q9" i="19"/>
  <c r="R6" i="19"/>
  <c r="S6" i="19" s="1"/>
  <c r="N67" i="3"/>
  <c r="N64" i="3"/>
  <c r="O64" i="3" s="1"/>
  <c r="Z15" i="2" l="1"/>
  <c r="Z27" i="2" s="1"/>
  <c r="B34" i="20"/>
  <c r="B22" i="20"/>
  <c r="D7" i="20"/>
  <c r="C11" i="20"/>
  <c r="C19" i="20" s="1"/>
  <c r="C21" i="20" s="1"/>
  <c r="M31" i="2"/>
  <c r="D35" i="2"/>
  <c r="R9" i="19"/>
  <c r="S9" i="19" s="1"/>
  <c r="E7" i="20" l="1"/>
  <c r="E11" i="20" s="1"/>
  <c r="E19" i="20" s="1"/>
  <c r="E21" i="20" s="1"/>
  <c r="D11" i="20"/>
  <c r="D19" i="20" s="1"/>
  <c r="D21" i="20" s="1"/>
  <c r="C34" i="20"/>
  <c r="C33" i="20"/>
  <c r="D34" i="20" l="1"/>
  <c r="D33" i="20"/>
  <c r="E34" i="20"/>
  <c r="E33" i="20"/>
</calcChain>
</file>

<file path=xl/sharedStrings.xml><?xml version="1.0" encoding="utf-8"?>
<sst xmlns="http://schemas.openxmlformats.org/spreadsheetml/2006/main" count="2196" uniqueCount="1031">
  <si>
    <t>2.</t>
  </si>
  <si>
    <t>Működési bevételek, Intézmények</t>
  </si>
  <si>
    <t>3.</t>
  </si>
  <si>
    <t>5.</t>
  </si>
  <si>
    <t>6.</t>
  </si>
  <si>
    <t>Felhalmozási bevételek jogímenként</t>
  </si>
  <si>
    <t>7.</t>
  </si>
  <si>
    <t>Működési kiadások, Intézmények</t>
  </si>
  <si>
    <t>8.</t>
  </si>
  <si>
    <t>10.</t>
  </si>
  <si>
    <t>11.</t>
  </si>
  <si>
    <t>Felhalmozási kiadások</t>
  </si>
  <si>
    <t>12.</t>
  </si>
  <si>
    <t>13.</t>
  </si>
  <si>
    <t>14.</t>
  </si>
  <si>
    <t>Címrend</t>
  </si>
  <si>
    <t>Bevételek</t>
  </si>
  <si>
    <t>Kiadások</t>
  </si>
  <si>
    <t>Intézményi működési bevétel</t>
  </si>
  <si>
    <t>Intézmények működési kiadása</t>
  </si>
  <si>
    <t>Tárgyi eszközök értékesítése</t>
  </si>
  <si>
    <t>Támogatásértékű műk. bevétel</t>
  </si>
  <si>
    <t>Támogtás értékű felhalmozási bev.</t>
  </si>
  <si>
    <t>Műk.c.pénzeszköz átv.ÁH-n kívülről</t>
  </si>
  <si>
    <t>Működés összesen</t>
  </si>
  <si>
    <t>Felh.c.pénzeszköz átvétel ÁH-n kív.</t>
  </si>
  <si>
    <t>Önkorm.lakások és helyis.értékesít.</t>
  </si>
  <si>
    <t>Hitelek törlesztése</t>
  </si>
  <si>
    <t>Önkormányzati sajátos műk.b.</t>
  </si>
  <si>
    <t xml:space="preserve"> Beruházási hitelek</t>
  </si>
  <si>
    <t>Kölcsönök visszatérülése</t>
  </si>
  <si>
    <t>Működési bevételek összesen</t>
  </si>
  <si>
    <t>Bevételek összesen</t>
  </si>
  <si>
    <t>Kamatköltségek</t>
  </si>
  <si>
    <t>Felhalmozási bev. összesen</t>
  </si>
  <si>
    <t>Bevétel mindösszesen</t>
  </si>
  <si>
    <t>Kiadás mindösszesen</t>
  </si>
  <si>
    <t>Intézmények megnevezése</t>
  </si>
  <si>
    <t>Összesen</t>
  </si>
  <si>
    <t>ÖSSZESEN:</t>
  </si>
  <si>
    <t>Feladat megnevezése</t>
  </si>
  <si>
    <t>Ö S S Z E S E N :</t>
  </si>
  <si>
    <t xml:space="preserve"> </t>
  </si>
  <si>
    <t>Személyi juttatások</t>
  </si>
  <si>
    <t>Járulékok</t>
  </si>
  <si>
    <t>Dologi kiadások</t>
  </si>
  <si>
    <t>Címrendi szám</t>
  </si>
  <si>
    <t>Intézmény neve</t>
  </si>
  <si>
    <t>Eredeti</t>
  </si>
  <si>
    <t>Intézmények eredeti összesen:</t>
  </si>
  <si>
    <t>eredeti</t>
  </si>
  <si>
    <t>Összesen:</t>
  </si>
  <si>
    <t>Maradvány</t>
  </si>
  <si>
    <t>felhasználás</t>
  </si>
  <si>
    <t>Felhalmozási</t>
  </si>
  <si>
    <t>célú</t>
  </si>
  <si>
    <t>Működés egyenlege</t>
  </si>
  <si>
    <t>Fejlesztés egyenlege</t>
  </si>
  <si>
    <t>Felhalmozási bevételek össz.</t>
  </si>
  <si>
    <t>Bevételek mindösszesen</t>
  </si>
  <si>
    <t>Kiadások mindösszesen</t>
  </si>
  <si>
    <t>Folyószámla hitelkamat</t>
  </si>
  <si>
    <t>Bevétel és kiadás egyenlege</t>
  </si>
  <si>
    <t>Egyenleg:</t>
  </si>
  <si>
    <t>Ebből kötelező feladat</t>
  </si>
  <si>
    <t>Ebből önként vállalt feladat</t>
  </si>
  <si>
    <t>Eredeti előirányzatból</t>
  </si>
  <si>
    <t>Ft</t>
  </si>
  <si>
    <t>Jan</t>
  </si>
  <si>
    <t>Febr</t>
  </si>
  <si>
    <t>Márc</t>
  </si>
  <si>
    <t>Ápr</t>
  </si>
  <si>
    <t>Máj</t>
  </si>
  <si>
    <t>Jún</t>
  </si>
  <si>
    <t>Júl</t>
  </si>
  <si>
    <t>Aug</t>
  </si>
  <si>
    <t>Szept</t>
  </si>
  <si>
    <t>Okt</t>
  </si>
  <si>
    <t>Nov</t>
  </si>
  <si>
    <t>Dec</t>
  </si>
  <si>
    <t>Intézményi működési bevételek</t>
  </si>
  <si>
    <t>Támogatásértékű működési bev.</t>
  </si>
  <si>
    <t>Bevételek összesen:</t>
  </si>
  <si>
    <t>Támogatásért.műk.kiadás</t>
  </si>
  <si>
    <t>Műk.c.pénzeszk.átad ÁH-n kív.</t>
  </si>
  <si>
    <t>Fejlesztési kiadások</t>
  </si>
  <si>
    <t>Kiadások összesen:</t>
  </si>
  <si>
    <t>Havi egyenleg</t>
  </si>
  <si>
    <t>Gönygyölített egyenleg</t>
  </si>
  <si>
    <t>Tartalék felhasználás</t>
  </si>
  <si>
    <t>KIADÁSOK MINDÖSSZESEN:</t>
  </si>
  <si>
    <t>1 1</t>
  </si>
  <si>
    <t>2 1</t>
  </si>
  <si>
    <t>önként</t>
  </si>
  <si>
    <t>kötelező</t>
  </si>
  <si>
    <t>célú kölcsön</t>
  </si>
  <si>
    <t>Kötelezően ellátott feladatok</t>
  </si>
  <si>
    <t>Ebből kötelezően ellátott</t>
  </si>
  <si>
    <t>ebből kötelező</t>
  </si>
  <si>
    <t>ebből önként vállalt</t>
  </si>
  <si>
    <t>kötelezőből államigazgatási</t>
  </si>
  <si>
    <t>Kötelező feladat ellátásból államigazgatási feladatellátáshoz kapcsolódó</t>
  </si>
  <si>
    <t>15.</t>
  </si>
  <si>
    <t>16.</t>
  </si>
  <si>
    <t>Közvetett támogatások</t>
  </si>
  <si>
    <t>17.</t>
  </si>
  <si>
    <t>18.</t>
  </si>
  <si>
    <t>19.</t>
  </si>
  <si>
    <t>20.</t>
  </si>
  <si>
    <t>21.</t>
  </si>
  <si>
    <t>Megnevezés</t>
  </si>
  <si>
    <t>22.</t>
  </si>
  <si>
    <t>23.</t>
  </si>
  <si>
    <t>Intézményi működési bevételek Rovatszám: B4</t>
  </si>
  <si>
    <t>Állami támogatás Rovatszám: B816</t>
  </si>
  <si>
    <t>ÖK támogatás Rovatszám: B816</t>
  </si>
  <si>
    <t>Támog. ért.műk. Bevétel Rovatszám: B16</t>
  </si>
  <si>
    <t>Sajátos bevételek Rovatszám: B4</t>
  </si>
  <si>
    <t>működési Rovatszám: B8131</t>
  </si>
  <si>
    <t>Kormányzati funkció szerint</t>
  </si>
  <si>
    <t>Közhatalmi bevételek Rovatszám: B3</t>
  </si>
  <si>
    <t>Állami támogatás Rovatszám: B11</t>
  </si>
  <si>
    <t>Állami támogatás</t>
  </si>
  <si>
    <t>Rovatrend</t>
  </si>
  <si>
    <t>B4</t>
  </si>
  <si>
    <t>B16</t>
  </si>
  <si>
    <t>B11</t>
  </si>
  <si>
    <t>B3</t>
  </si>
  <si>
    <t>B8131</t>
  </si>
  <si>
    <t>B8111</t>
  </si>
  <si>
    <t>maradvány  Rovatrend B8131</t>
  </si>
  <si>
    <t>Önk. lak. és helyis. értékes. Rovatrend B52</t>
  </si>
  <si>
    <t>Kormányzati funkció</t>
  </si>
  <si>
    <t>Támog.ért. felhalm. bevétel Rovatrend B21, B25</t>
  </si>
  <si>
    <t>Személyi juttatások Rovatrend K1</t>
  </si>
  <si>
    <t>Járulékok Rovatrend K2</t>
  </si>
  <si>
    <t>Dologi kiadások Rovatrend K3</t>
  </si>
  <si>
    <t>Kölcsön visszafizetése Rovatrend K91</t>
  </si>
  <si>
    <t>Finanszírozási műveletek</t>
  </si>
  <si>
    <t>Funkció/Feladat megnevezése</t>
  </si>
  <si>
    <t>Beruházás Rovatrend    K 61-67</t>
  </si>
  <si>
    <t>Felújítás Rovatrend            K 71-74</t>
  </si>
  <si>
    <t>Támog.ért. felh.c. pénze. Átadása Rovatrend         K 81-84</t>
  </si>
  <si>
    <t>K1-K5</t>
  </si>
  <si>
    <t>K6-K8</t>
  </si>
  <si>
    <t>K9111</t>
  </si>
  <si>
    <t>K353</t>
  </si>
  <si>
    <t>Állami támogatások</t>
  </si>
  <si>
    <t>Egyéb közhatlami bevételek</t>
  </si>
  <si>
    <t>Költségvetési engedélyezett létszámhelyek</t>
  </si>
  <si>
    <t>Ingatlanok, tárgyi eszközök értékesítése</t>
  </si>
  <si>
    <t>Ingatlanok, tárgyi eszk. értékesít. Rovatrend B52</t>
  </si>
  <si>
    <t>Összevont mérleg, bevételek és kiadások összesítése</t>
  </si>
  <si>
    <t>Összevont mérleg, működés és fejlesztés egyenlege</t>
  </si>
  <si>
    <t>Társadalom és szociálpolitikai juttatások Rovatrend  K4</t>
  </si>
  <si>
    <t>Támog. ért.műk. Kiadások, Elszámolások központi ktg-vetés felé Rovatrend K506, K5022</t>
  </si>
  <si>
    <t>Működési c. pénze. átad. ÁH-n kívülre Rovatrend K512</t>
  </si>
  <si>
    <t>Tartalék Rovatrend K513</t>
  </si>
  <si>
    <t>Ebből önként ellátott</t>
  </si>
  <si>
    <t>Felh.célú pénze.átv. ÁH-n kív. B75</t>
  </si>
  <si>
    <t>B65</t>
  </si>
  <si>
    <t>B52</t>
  </si>
  <si>
    <t>B75</t>
  </si>
  <si>
    <t>B21, B25</t>
  </si>
  <si>
    <t>B74</t>
  </si>
  <si>
    <t>Többéves kihatású kötelezettségek általnos működtetési költségeken kívül (e Ft)</t>
  </si>
  <si>
    <t>Hitelfelvétel</t>
  </si>
  <si>
    <t>B814</t>
  </si>
  <si>
    <t>Államháztartási megelőlegezés</t>
  </si>
  <si>
    <t>B81</t>
  </si>
  <si>
    <t>Működési c. pénze. átad. ÁH-n kívülre Rovatrend K512, működési kölcsön nyújtása K508</t>
  </si>
  <si>
    <t>K914</t>
  </si>
  <si>
    <t>Államháztartási megelőlegezés visszafizetése</t>
  </si>
  <si>
    <t>Bevételek, kiadások összesítése  Ft-ban</t>
  </si>
  <si>
    <t>MŰKÖDÉSI BEVÉTELEK - INTÉZMÉNYEK (Ft)</t>
  </si>
  <si>
    <t>FELHALMOZÁSI BEVÉTELEK (Ft)</t>
  </si>
  <si>
    <t>MŰKÖDÉSI KIADÁSOK - INTÉZMÉNYEK (Ft)</t>
  </si>
  <si>
    <t>FELHALMOZÁSI KIADÁSOK adatok Ft-ban</t>
  </si>
  <si>
    <t>adatok Ft-ban</t>
  </si>
  <si>
    <t>alakulását bemutató mérleg adatok Ft-ban</t>
  </si>
  <si>
    <t>fejlesztési céljai (adatok Ft-ban)</t>
  </si>
  <si>
    <t>Sorszám</t>
  </si>
  <si>
    <t>Partner</t>
  </si>
  <si>
    <t>Szerződés összege (Ft)</t>
  </si>
  <si>
    <t>Szerződés tárgya</t>
  </si>
  <si>
    <t>Elvonások Támog. ért.műk. Kiadások Rovatrend K502  K506</t>
  </si>
  <si>
    <t>Kölcsön/Hitel visszafizetése, államháztartási megelőlegezés visszafizetése Rovatrend K91</t>
  </si>
  <si>
    <t>Felh.c. pénzeszk. átad. ÁH-n kívüre Rovatrend       K 85-89</t>
  </si>
  <si>
    <t xml:space="preserve">Fejlesztési </t>
  </si>
  <si>
    <t>Működési c. pénze. átv. ÁH-n kívülről Rovatszám: B63-65</t>
  </si>
  <si>
    <t>Működési c. pénze. átv. ÁH-n kívülről Rovatszám: B63- B65</t>
  </si>
  <si>
    <t>Műk.c.pénzeszköz átv.ÁH-n kívülről, visszatérítendő működési támogatás</t>
  </si>
  <si>
    <t>Felhalmozási célú kölcsönök, visszatérítendő támogatások visszatérülése</t>
  </si>
  <si>
    <t>Ellátottak juttatása</t>
  </si>
  <si>
    <t>Kölcsönök, visszatérítendő támogatások visszatérülése</t>
  </si>
  <si>
    <t>Többéves kihatású kötelezettségek általános működtetési költségeken kívül  Ft-ban</t>
  </si>
  <si>
    <t>1. oldal</t>
  </si>
  <si>
    <t>célra</t>
  </si>
  <si>
    <t>Kötvény visszaváltás Rovat B812</t>
  </si>
  <si>
    <t>B812</t>
  </si>
  <si>
    <t>Maradvány felhasználás</t>
  </si>
  <si>
    <t>2. melléklet</t>
  </si>
  <si>
    <t>6. melléklet</t>
  </si>
  <si>
    <t>7. melléklet</t>
  </si>
  <si>
    <t>11. melléklet</t>
  </si>
  <si>
    <t>14. melléklet</t>
  </si>
  <si>
    <t>16. melléklet</t>
  </si>
  <si>
    <t>17. melléklet</t>
  </si>
  <si>
    <t>20. melléklet</t>
  </si>
  <si>
    <t>21. melléklet</t>
  </si>
  <si>
    <t>22. melléklet</t>
  </si>
  <si>
    <t>23. melléklet</t>
  </si>
  <si>
    <t>visszatérülés Rovatrend B74, B75</t>
  </si>
  <si>
    <t>90. életévét betöltő, mosonmagyaróvári állandó lakcímmel rendelkezők teljes ellátására vonatkozó szociális támogatása</t>
  </si>
  <si>
    <t>Maradványfelhasználás</t>
  </si>
  <si>
    <t>Állampapír beváltás összesen</t>
  </si>
  <si>
    <t>EU-s támogatással megvalósuló projektek (adatok Ft)</t>
  </si>
  <si>
    <t>felhasználás, ÁHT. Belüli megelőlegezés, értékpapír beváltása</t>
  </si>
  <si>
    <t>működési Rovatszám: B812, B8131, B814</t>
  </si>
  <si>
    <t>Jogcím</t>
  </si>
  <si>
    <t>Család és gyermekjóléti szolgálat támogatása</t>
  </si>
  <si>
    <t>Szociális étkeztetés</t>
  </si>
  <si>
    <t>Házi segítségnyújtás</t>
  </si>
  <si>
    <t>Időskorúak nappali int. Ellátása</t>
  </si>
  <si>
    <t>Fogyatékos és demens személyek ell.</t>
  </si>
  <si>
    <t>Hajléktalanok nappali ellátása</t>
  </si>
  <si>
    <t>Hajléktalanok átmeneti ellátása</t>
  </si>
  <si>
    <t>Éjjeli menedékhely (új)</t>
  </si>
  <si>
    <t>Hajléktalanok nappali intézményi ellátása - a szociál- és nyugdíjpolitikáért felelős miniszter által kijelölt intézmény</t>
  </si>
  <si>
    <t>Bértámogatás szociális szféra</t>
  </si>
  <si>
    <t>Óvodai és iskolai szociális segítő tevékenység támogatása*</t>
  </si>
  <si>
    <t>Állami támogatás összesen</t>
  </si>
  <si>
    <t>Rovat</t>
  </si>
  <si>
    <t>B113</t>
  </si>
  <si>
    <t>4.</t>
  </si>
  <si>
    <t>24.</t>
  </si>
  <si>
    <t>Állami hozzájárulások</t>
  </si>
  <si>
    <t>3. melléklet</t>
  </si>
  <si>
    <t>8. melléklet</t>
  </si>
  <si>
    <t>12. melléklet</t>
  </si>
  <si>
    <t>18. melléklet</t>
  </si>
  <si>
    <t>Működési bevételek, Társulás</t>
  </si>
  <si>
    <t>Működési bevételek Társulás és intézményei</t>
  </si>
  <si>
    <t>Működési kiadások, Társulás</t>
  </si>
  <si>
    <t>Működési kiadások, Társulás és intézményei összevontan</t>
  </si>
  <si>
    <t>Társulás által biztosítandó támogatások</t>
  </si>
  <si>
    <t xml:space="preserve">Mosonmagyaróvári Térségi Társulás és intézményei </t>
  </si>
  <si>
    <t>Kistérségi Egyesített Szociális Intézmény</t>
  </si>
  <si>
    <t>Család és Gyermekjóléti Központ</t>
  </si>
  <si>
    <t>Mosonmagyaróvár Térségi Társulás  működési bevételei adatok  Ft-ban</t>
  </si>
  <si>
    <t>Mosonmagyaróvár Térségi Társulás működési kiadásai adatok Ft-ban</t>
  </si>
  <si>
    <t>Család és Gyermekvédelmi Központ</t>
  </si>
  <si>
    <t>3 1</t>
  </si>
  <si>
    <t>Mosonmagyaróvár Térségi Társulás</t>
  </si>
  <si>
    <t>MOSONMAGYARÓVÁR TÉRSÉGI TÁRSULÁS ÖSSZESEN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</si>
  <si>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</si>
  <si>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</si>
  <si>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</si>
  <si>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</si>
  <si>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</si>
  <si>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</si>
  <si>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>Kistérségi Egyesített Szociális Intézet</t>
  </si>
  <si>
    <t>Hajléktalanok Átmeneti Szállása</t>
  </si>
  <si>
    <t>FÉNI</t>
  </si>
  <si>
    <t>Nappali melegedő</t>
  </si>
  <si>
    <t>Éjjeli menedékhely</t>
  </si>
  <si>
    <t>Utcai szociális munka</t>
  </si>
  <si>
    <t xml:space="preserve"> Szociális étkezés</t>
  </si>
  <si>
    <t xml:space="preserve"> Házi segítségnyújtás</t>
  </si>
  <si>
    <t xml:space="preserve"> Jelzőrendszer</t>
  </si>
  <si>
    <t>Intézmény finanszírozás (állami támogatáson túl) Rovatszám: B816</t>
  </si>
  <si>
    <t>Mosonmagyaróvár Térségi Társulás és intézményei működési bevételei adatok  Ft-ban</t>
  </si>
  <si>
    <t>Intézményi finanszírozási bevételek részletezése</t>
  </si>
  <si>
    <t>MINDÖSSZESEN:</t>
  </si>
  <si>
    <t>4. melléklet</t>
  </si>
  <si>
    <t>Intézményfinanszírozás részletezése</t>
  </si>
  <si>
    <t>5. melléklet</t>
  </si>
  <si>
    <t>Állami támogatás rovatszám: B816</t>
  </si>
  <si>
    <t>Térségi Társuláshoz befolyt hozzájárulásból származó finanszírozás B16</t>
  </si>
  <si>
    <t>Mosonmagyaróvár Város Önkormányzatától származó hiányfinanszírozás B16</t>
  </si>
  <si>
    <t>Feladat alapú támogatások* B16</t>
  </si>
  <si>
    <t>*Feladat alapú támogatások: jelzőrendszeres házi segítségnyújtás, fejlesztő foglalkoztatási, utcai szociális munka.</t>
  </si>
  <si>
    <t>Közvetlen állami támogatás</t>
  </si>
  <si>
    <t>Közhatalmi bevételek (helyi adók nélkül)</t>
  </si>
  <si>
    <t>Állampapír ügyletek</t>
  </si>
  <si>
    <t>Kölcsönfelvétel</t>
  </si>
  <si>
    <t>Társulás</t>
  </si>
  <si>
    <t>013350</t>
  </si>
  <si>
    <t>önkormányzati vagyonnal való gazdálkodás</t>
  </si>
  <si>
    <t>Térségi Társulás működési kiadásai</t>
  </si>
  <si>
    <t>Közhatalmi bevételek</t>
  </si>
  <si>
    <t>Működési célú maradvány felhasználás</t>
  </si>
  <si>
    <t>Közhatalmi bevétel</t>
  </si>
  <si>
    <t>Lakások és helyis.értékesít.</t>
  </si>
  <si>
    <t>Értékpapír beváltás</t>
  </si>
  <si>
    <t>018030 Támogatási célú finanszírozási műveletek</t>
  </si>
  <si>
    <t>102031 Idősek nappali ellátása</t>
  </si>
  <si>
    <t>Az állami támogatást az intézmények a gesztor önkormányzat nettó finanszírozásán keresztül kapják meg, havonta.</t>
  </si>
  <si>
    <t>- ebből Család és Gyermekjóléti központot illető</t>
  </si>
  <si>
    <t>- ebből Kistérségi Egyesített Szociális Intézményt illető</t>
  </si>
  <si>
    <t>MOSONMAGYARÓVÁR TÉRSÉGI TÁRSULÁS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</si>
  <si>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</si>
  <si>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</si>
  <si>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</si>
  <si>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</si>
  <si>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Összege Ft-ban</t>
  </si>
  <si>
    <t>Magyar Államkincstár</t>
  </si>
  <si>
    <t xml:space="preserve">Állami támogatással finanszírozott feladatok ellátásra </t>
  </si>
  <si>
    <t>Nemzeti Szociálpolitikai Intézet</t>
  </si>
  <si>
    <t>Fejlesztő foglalkoztatás támogatása (gesztor önkormányzaton keresztül)</t>
  </si>
  <si>
    <t>Jelzőrendszer támogatása (gesztor önkormányzaton keresztül)</t>
  </si>
  <si>
    <t>Utcai szociális munka (gesztor önkormányzaton keresztül)</t>
  </si>
  <si>
    <t>Mosonmagyaróvár Város Önkormányzata</t>
  </si>
  <si>
    <t xml:space="preserve">Kistérségi Egyesített Szociális Intézmény működésének támogatása működési hiány finanszírozása </t>
  </si>
  <si>
    <t>összes gesztor Önk. Támogatás</t>
  </si>
  <si>
    <t xml:space="preserve">Család és Gyermekjóléti Központ működési hiány finanszírozása </t>
  </si>
  <si>
    <t>Térségi társulás működéséhez és egyéb alapokhoz és intézmények működéséhez való hozzájárulás</t>
  </si>
  <si>
    <t>Gesztor önkormányzati hozzájáruláson kívüli tagtelepülések hozzájárulása</t>
  </si>
  <si>
    <t xml:space="preserve">Család és Gyermekjóléti Központ működésének finanszírozásához </t>
  </si>
  <si>
    <t>gesztor Önk. Kívüli tagtelepülési támogatások</t>
  </si>
  <si>
    <t xml:space="preserve">Kistérségi Egyesített Szociális Intézmény működésének finanszírozásához </t>
  </si>
  <si>
    <t>Gesztor önkormányzati hozzájáruláson kívüli tagtelepülések támogatása</t>
  </si>
  <si>
    <t>Magyar Államkincstár (közvetelenül intézménynél tervezve)</t>
  </si>
  <si>
    <t>Család és Gyermekjóléti központ összevont ágazati pótlék becsült összege</t>
  </si>
  <si>
    <t>Kistérségi Egyesített Szociális Intézmény összevont ágazati pótlék becsült összege</t>
  </si>
  <si>
    <t>Kistérségi Egyesített Szociális Intézmény bérkompenzáció becsült összege</t>
  </si>
  <si>
    <t>Kistérségi Egyesített Szociális Intézmény egészségügyi pótlék becsült összege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</si>
  <si>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</si>
  <si>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</si>
  <si>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</si>
  <si>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Összege  Ft-ban</t>
  </si>
  <si>
    <t>Mosonmagyaróvári Polgármesteri Hivatal</t>
  </si>
  <si>
    <t>Társulási feladatok ellátására hozzájárulás</t>
  </si>
  <si>
    <t>Civil szervezet számára Tanács döntése alapján</t>
  </si>
  <si>
    <t>Társulás által átadandó pénzeszköz</t>
  </si>
  <si>
    <t>2. oldal</t>
  </si>
  <si>
    <t>13. MELLÉKLET</t>
  </si>
  <si>
    <t>intézményekre felosztva</t>
  </si>
  <si>
    <t>társulás működésére</t>
  </si>
  <si>
    <t>Meglévő tagdíj 270 Ft/lakos</t>
  </si>
  <si>
    <t>Önkormányzat</t>
  </si>
  <si>
    <t>580 Ft + 643 Ft/lakos=1 223 Ft/lakos</t>
  </si>
  <si>
    <t>1.</t>
  </si>
  <si>
    <t xml:space="preserve">Mosonmagyaróvár </t>
  </si>
  <si>
    <t xml:space="preserve">Ásványráró </t>
  </si>
  <si>
    <t xml:space="preserve">Bezenye </t>
  </si>
  <si>
    <t xml:space="preserve">Dunakiliti </t>
  </si>
  <si>
    <t xml:space="preserve">Dunaremete </t>
  </si>
  <si>
    <t xml:space="preserve">Dunasziget </t>
  </si>
  <si>
    <t xml:space="preserve">Darnózseli </t>
  </si>
  <si>
    <t xml:space="preserve">Feketeerdő </t>
  </si>
  <si>
    <t>9.</t>
  </si>
  <si>
    <t xml:space="preserve">Halászi </t>
  </si>
  <si>
    <t xml:space="preserve">Hegyeshalom </t>
  </si>
  <si>
    <t xml:space="preserve">Hédervár </t>
  </si>
  <si>
    <t xml:space="preserve">Jánossomorja </t>
  </si>
  <si>
    <t xml:space="preserve">Károlyháza </t>
  </si>
  <si>
    <t xml:space="preserve">Kimle </t>
  </si>
  <si>
    <t xml:space="preserve">Kisbodak </t>
  </si>
  <si>
    <t xml:space="preserve">Levél </t>
  </si>
  <si>
    <t xml:space="preserve">Lébény </t>
  </si>
  <si>
    <t xml:space="preserve">Lipót </t>
  </si>
  <si>
    <t xml:space="preserve">Máriakálnok </t>
  </si>
  <si>
    <t xml:space="preserve">Mecsér </t>
  </si>
  <si>
    <t xml:space="preserve">Mosonszentmiklós </t>
  </si>
  <si>
    <t xml:space="preserve">Mosonszolnok </t>
  </si>
  <si>
    <t xml:space="preserve">Mosonudvar </t>
  </si>
  <si>
    <t xml:space="preserve">Püski </t>
  </si>
  <si>
    <t>25.</t>
  </si>
  <si>
    <t xml:space="preserve">Rajka </t>
  </si>
  <si>
    <t>26.</t>
  </si>
  <si>
    <t xml:space="preserve">Újrónafő </t>
  </si>
  <si>
    <t>27.</t>
  </si>
  <si>
    <t xml:space="preserve">Várbalog </t>
  </si>
  <si>
    <t>Felújítási alap 100 Ft/lakos</t>
  </si>
  <si>
    <t>Fizetési kötelezettség összesen</t>
  </si>
  <si>
    <t>24. melléklet</t>
  </si>
  <si>
    <t>2022. január 1.</t>
  </si>
  <si>
    <t>15. melléklet</t>
  </si>
  <si>
    <t>Fejlesztő foglalkoztatás</t>
  </si>
  <si>
    <t>Mosonmagyaróvár Térségi Társulás és intézményei közvetett támogatást nem nyújtanak.</t>
  </si>
  <si>
    <t>A gesztor önkormányzat - Mosonmagyaróvár Város Önkormányzat - költségvetési rendelete szerint:</t>
  </si>
  <si>
    <t>Mosonmagyaróvár Város Önkormányzata a Mosonmagyaróvár Térségi Társulás által fenntartott Kistérségi Egyesített Szociális Intézménye által idősek számára biztosított alapszolgáltatási ellátást igénybe vevők személyi térítési díját megtéríti az ellátottak helyett, a következő feltételek együttes teljesülése esetén: az ellátott
a) a mosonmagyaróvári Kistérségi Egyesített Szociális Intézmény által, idősek számára biztosított alapszolgáltatás igénybe vevője,
b) Mosonmagyaróváron állandó lakóhellyel rendelkezik,
c) betöltötte a 90. életévét és
d) tartási vagy öröklési szerződést nem kötött.
A személyi térítési díj átvállalása a 90. életév betöltését követő hónaptól történik.</t>
  </si>
  <si>
    <t>A gesztor önkormányzatnál az így meghatározott közvetett támogatás összege:</t>
  </si>
  <si>
    <t>Mosonmagyaróvár Térségi Társulás és intézményei működési kiadásai adatok  Ft-ban</t>
  </si>
  <si>
    <t>9. melléklet</t>
  </si>
  <si>
    <t>Gyermekek Átmeneti Otthona</t>
  </si>
  <si>
    <t>Család- és Gyermekjóléti Központ / Hatósági és Speciális Munkacsoporot</t>
  </si>
  <si>
    <t>Család-és Gyermekjóléti Központ/ Családsegítő Szolgálat</t>
  </si>
  <si>
    <t xml:space="preserve">Óvodai és iskolai szociális segítő tevékenység  </t>
  </si>
  <si>
    <t>Aranykor Idősek Otthona, Idősek Otthona, Központi irányítás</t>
  </si>
  <si>
    <t>Idősek Gondozóháza, főzőkonyha, karbantartás</t>
  </si>
  <si>
    <t>Idősek klubjai</t>
  </si>
  <si>
    <t>Mosonmagyaróvár Térségi Társulás állandó létszámhely nincs</t>
  </si>
  <si>
    <t>10. melléklet</t>
  </si>
  <si>
    <t>19. melléklet</t>
  </si>
  <si>
    <t>9.222 Ft/hó</t>
  </si>
  <si>
    <t>vállalati internet 2 GB</t>
  </si>
  <si>
    <t>Allianz Biztosító</t>
  </si>
  <si>
    <t>RWL-677 Dacia Lodgy kötelező biztosítás</t>
  </si>
  <si>
    <t>FU-O-GE Kft</t>
  </si>
  <si>
    <t>foglalkoztatás egészségügyi szolgáltatás</t>
  </si>
  <si>
    <t>Groupama Biztosító Zrt</t>
  </si>
  <si>
    <t>RWL-677 Dacia Lodgy casco biztosítás</t>
  </si>
  <si>
    <t>Kálnoki Kenyér Kft</t>
  </si>
  <si>
    <t>GYÁO részére pékáru beszerzés</t>
  </si>
  <si>
    <t>Karolina Kórház Rendelőintézet</t>
  </si>
  <si>
    <t>Foglalkoztatás egészségügyi tüdőszűrés</t>
  </si>
  <si>
    <t>Kiss Viktor e.v.</t>
  </si>
  <si>
    <t>CSAGYESZ és CSAGYEK program rendszerfelügyeleti és rendszerkövetési díja</t>
  </si>
  <si>
    <t>Kiss-Tűz Tűzvédelmi Szolgáltató Bt.</t>
  </si>
  <si>
    <t>tűzvédelmi szolgáltatás</t>
  </si>
  <si>
    <t>Lindström Kft</t>
  </si>
  <si>
    <t>szőnyegtisztítás</t>
  </si>
  <si>
    <t>Magyar Telekom Zrt</t>
  </si>
  <si>
    <t>telefonelőfizetés</t>
  </si>
  <si>
    <t>Menedzser Praxis Szakkiadó és Gazdasági Tanácsadó Kft</t>
  </si>
  <si>
    <t>havi 120.000.-Ft + ÁFA</t>
  </si>
  <si>
    <t>adatvédelmi tisztviselő részére kötelezően előírt feladatok ellátása</t>
  </si>
  <si>
    <t>Mod Zrt.</t>
  </si>
  <si>
    <t>Fénymásoló bérleti díj</t>
  </si>
  <si>
    <t>Patent Távfelügyelet Kft</t>
  </si>
  <si>
    <t>Távfelügyeleti díj</t>
  </si>
  <si>
    <t>RLAN Internet Távközlési Kft</t>
  </si>
  <si>
    <t>Internet GYÁO</t>
  </si>
  <si>
    <t>Soósné Dr. Kiss Zsuzsanna</t>
  </si>
  <si>
    <t>Családterápia szerződés alapján</t>
  </si>
  <si>
    <t>Takaró Attila Lajos e.v.</t>
  </si>
  <si>
    <t>130 000 Ft/hó</t>
  </si>
  <si>
    <t>informatikai rendszerfelügyelet, karbantartások</t>
  </si>
  <si>
    <t>mobiltelefon előfizetés</t>
  </si>
  <si>
    <t>Munkavédelmi szolgáltatás</t>
  </si>
  <si>
    <t>TÜVI Kft</t>
  </si>
  <si>
    <t>poroltó ellenőrzés</t>
  </si>
  <si>
    <t>ViDaNet Kábeltelevíziós Szolgáltató Zrt</t>
  </si>
  <si>
    <t>Kábeltévé, internet Vasutas utca 10. Szolgálat</t>
  </si>
  <si>
    <t>Kábeltévé, internet Vasutas utca 10. Központ</t>
  </si>
  <si>
    <t>Abakusz SH Kft</t>
  </si>
  <si>
    <t>Irodaszer, megállapodás alapján</t>
  </si>
  <si>
    <t>MDC 786 Suzuki Splash gépjármű kötelező biztosítás</t>
  </si>
  <si>
    <t>LYX 724 Renault Kangoo Casco biztosítás</t>
  </si>
  <si>
    <t>Generali Biztosító Zrt.</t>
  </si>
  <si>
    <t>NZL 359 Renault Master Casco biztosítás</t>
  </si>
  <si>
    <t>Allianz Hungária Zrt.</t>
  </si>
  <si>
    <t>LSM 772 KIA Picanto kötelező gépjármű biztosítás</t>
  </si>
  <si>
    <t>LSM 772 KIA Picanto casco</t>
  </si>
  <si>
    <t>ALI TŰZ-REND Kft</t>
  </si>
  <si>
    <t>Jánossomorjai Idősek Klubja Tűzotó készülékek ellenőrzése</t>
  </si>
  <si>
    <t>CompuTREND Zrt.</t>
  </si>
  <si>
    <t>CT-Ecostat éves karbantartási díj</t>
  </si>
  <si>
    <t>szociális étkeztetés keretében meleg étel elkészítése és házhozszállítása, éves szerződés</t>
  </si>
  <si>
    <t>Dr Kacz Károlyné</t>
  </si>
  <si>
    <t>dietetikus szolgáltatás</t>
  </si>
  <si>
    <t>Rendszereses háziorvosi ellátás Idősek Gonodzóházában</t>
  </si>
  <si>
    <t>Dr. Ruzsa Judit Emőke</t>
  </si>
  <si>
    <t>Pszichiátriai szakorvosi ellátás biztosítása, demencia vizsgálatok elvégzése</t>
  </si>
  <si>
    <t>Orvosi alapellátás Hajléktalan ellátó szolgálatnál</t>
  </si>
  <si>
    <t>Ecoffice Technology Kft</t>
  </si>
  <si>
    <t>Másológép bérleti díj Alapszolgáltatási Centrum</t>
  </si>
  <si>
    <t>Egyetem Étterem és Konyha Kereskedelmi és Szolgáltató Kft.</t>
  </si>
  <si>
    <t>ÉMI-TÜV SÜD Kft</t>
  </si>
  <si>
    <t>Felvonó éves biztonságtechnikai vizsgálat</t>
  </si>
  <si>
    <t>Faber Gyógyszertár Kft.</t>
  </si>
  <si>
    <t>Intézményi gyógyszerek biztosítása az Idősek Gondozóháza ellátottjai részére</t>
  </si>
  <si>
    <t>FleetCor Hungary Kft</t>
  </si>
  <si>
    <t>üzemanyag a gépjárművekbe</t>
  </si>
  <si>
    <t>Földes K. G. 2009 Kft</t>
  </si>
  <si>
    <t>1.000.-Ft/alkalom     +40.- Ft/kg+ÁFA</t>
  </si>
  <si>
    <t>Ételhulladék elszállítása a Soproni út 65, Lengyári út 2.</t>
  </si>
  <si>
    <t>3.000.-Ft/ hó;           +40.- Ft/kg+ÁFA</t>
  </si>
  <si>
    <t>Ételhulladék elszállítása a Lébényi Idősek Klubja</t>
  </si>
  <si>
    <t>Ételhulladék elszállítása a Jánossomorjai Idősek Klubja</t>
  </si>
  <si>
    <t>Ételhulladék elszállítása a Mosoni Idősek Klubja</t>
  </si>
  <si>
    <t>Ételhulladék elszállítása a Óvári Idősek Klubja</t>
  </si>
  <si>
    <t>Funkció Kft</t>
  </si>
  <si>
    <t>élelmiszer, darabolt sertéshús, marhahús és darabolt baromfi, hentesárú, éves szerződés</t>
  </si>
  <si>
    <t>általános felelősség biztosítás fejlesztő foglalkoztatás</t>
  </si>
  <si>
    <t>Távfelügyelet biztosítása Soproni utca 65.</t>
  </si>
  <si>
    <t>Intézményi Működtető és Gazdálkodási Szervezet</t>
  </si>
  <si>
    <t>szociális étkeztetés keretében lefőzött ételadagok kiszállítása mosonmagyaróváron lakcímre</t>
  </si>
  <si>
    <t>élelmiszer, mélyfagyasztoss és gyorsfagyasztott termékek, éves szerződés</t>
  </si>
  <si>
    <t>K&amp;H Biztosító Zrt.</t>
  </si>
  <si>
    <t>LYX 724 Renault Kangoo kötelező gépjármű biztosítás</t>
  </si>
  <si>
    <t>Kaczor Attila e.v.</t>
  </si>
  <si>
    <t>Jelzőrendszeres házi segítségnyújtás helyszínre történő kivonulások</t>
  </si>
  <si>
    <t>KÉTÜSZ Kapuvár Kft</t>
  </si>
  <si>
    <t>kéményseprés</t>
  </si>
  <si>
    <t>KONSZEG Kft</t>
  </si>
  <si>
    <t>élelmiszer, különféle élelmiszer termékek (szárazáru, konzerv), éves szerződés</t>
  </si>
  <si>
    <t>Kónyáné Dr. Sándor Andrea</t>
  </si>
  <si>
    <t>Orvosi alapellátás Aranykor Idősek Otthona Virágoskert Idősek Otthona szolgálatnál</t>
  </si>
  <si>
    <t>Kránitz Ferenc</t>
  </si>
  <si>
    <t>élelmiszer, pékárú, éves szerződés</t>
  </si>
  <si>
    <t>LK-SYSTEMS Bt.</t>
  </si>
  <si>
    <t>Magyar Telekom Nyrt.</t>
  </si>
  <si>
    <t>telefon, internet a telephelyeken</t>
  </si>
  <si>
    <t>MediaWorks Hungary Zrt</t>
  </si>
  <si>
    <t>Kisalföld újság előfizetés</t>
  </si>
  <si>
    <t>HO-MI Kft</t>
  </si>
  <si>
    <t>élelmiszer, tej, tejtermék</t>
  </si>
  <si>
    <t>Pannon Elco-Lift Bt.</t>
  </si>
  <si>
    <t>16.510.-Ft/hó</t>
  </si>
  <si>
    <t>konyhai felvonó karbantartása</t>
  </si>
  <si>
    <t>Pannon Tech 2000 Bt</t>
  </si>
  <si>
    <t>fénymásoló bérlés Központi irányítás</t>
  </si>
  <si>
    <t>Partner Service Kft</t>
  </si>
  <si>
    <t xml:space="preserve">tűzjelző rendszer karbantartása Soproni út </t>
  </si>
  <si>
    <t>Satelit Híradástechnikai Kft</t>
  </si>
  <si>
    <t>internet Jánossomorjai Idősek kLubja</t>
  </si>
  <si>
    <t>SOS Központ Kft</t>
  </si>
  <si>
    <t>Jelzőrendszeres házi-segítségnyújtás készülékbérlés</t>
  </si>
  <si>
    <t>Stercor Kft</t>
  </si>
  <si>
    <t>Egészségügyi hulladékok begyűjtési díja</t>
  </si>
  <si>
    <t>SPIE AGIS Fire&amp;Security Kft</t>
  </si>
  <si>
    <t>konyhai ansul oltórendszer karbantartása</t>
  </si>
  <si>
    <t>Szám-Adó Kft.</t>
  </si>
  <si>
    <t>TSZG szoftverfelügyelet Jánossomorjai Idősek Klubja</t>
  </si>
  <si>
    <t>TSZG szoftverfelügyelet Mosoni Idősek Klubja, Alapszolgáltatási Centrum, Hajléktalan Ellátó Szolgálat, Fogyatékossággal Élők Nappali Intézménye</t>
  </si>
  <si>
    <t>TSZG szoftverfelügyelet Lébényi Idősek Klubja</t>
  </si>
  <si>
    <t>TSZG szoftverfelügyelet SzocX Hajléktalan Ellátó Szolgálat,</t>
  </si>
  <si>
    <t>Temini Kft</t>
  </si>
  <si>
    <t>Soproni út felvonó karbantartás</t>
  </si>
  <si>
    <t>UNION Vienna Insurance Group Biztosító Zrt.</t>
  </si>
  <si>
    <t>NZL 359 Renault Master kötelező biztosítás</t>
  </si>
  <si>
    <t>XZM 445 utánfutó kötelező biztosítás</t>
  </si>
  <si>
    <t>Kábeltévé, internet Barátság utca 20.</t>
  </si>
  <si>
    <t>Kábeltévé, internet Soproni út 65.</t>
  </si>
  <si>
    <t>Kábeltévé, internet Zichy Mihály utca 5 Alapszolgáltatási Centrum</t>
  </si>
  <si>
    <t>Kábeltévé, internet Zichy Mihály utca 5 Óvári Idősek Klubja</t>
  </si>
  <si>
    <t>Kábeltévé, internet Szent István király t 109. Mosoni Idősek Klubja</t>
  </si>
  <si>
    <t>Vörös Ferenc e.v.</t>
  </si>
  <si>
    <t>rovarírtás, rágcsálóírtás</t>
  </si>
  <si>
    <t>WD Bt</t>
  </si>
  <si>
    <t>munkaruha, védőruha</t>
  </si>
  <si>
    <t>Mosonmagyaróvári Térségi Társulás és intézményei</t>
  </si>
  <si>
    <t xml:space="preserve">Mosonmagyaróvár Térségi Társulás adósságot keletkeztető </t>
  </si>
  <si>
    <t>Figyelembe véve Mosonmagyaróvár Város Önkormányzat 2022. évi gesztor önkormányzati támogatását</t>
  </si>
  <si>
    <t>Létszám</t>
  </si>
  <si>
    <t>KESZI</t>
  </si>
  <si>
    <t>CSGYK</t>
  </si>
  <si>
    <t>Eltérés előző év eredeti előirányzatához képest</t>
  </si>
  <si>
    <t>Ebben az esetben Mosonmagyaróvár Város Önkormányzatát mint gesztor önkormányzatot terhelő hiányfinaszírozás és hozzájárulás:</t>
  </si>
  <si>
    <t>hiányfinanszírozás 2022. évi szinten:</t>
  </si>
  <si>
    <t>ezen kívüli hozzájárulás</t>
  </si>
  <si>
    <t>A többi település esetén a "Fizetési kötelezettség összesen" oszlopban nyerhető ki információ.</t>
  </si>
  <si>
    <t>ok</t>
  </si>
  <si>
    <t>és felügyelete alá tartozó költségvetési szervek</t>
  </si>
  <si>
    <t>Intézmények működésének támogatása (157.198 Ft + 37.359.330 Ft =37.516.528 Ft)</t>
  </si>
  <si>
    <r>
      <rPr>
        <b/>
        <sz val="11"/>
        <rFont val="Times New Roman"/>
        <family val="1"/>
        <charset val="238"/>
      </rPr>
      <t>Család- és Gyermekjóléti Központ</t>
    </r>
    <r>
      <rPr>
        <sz val="11"/>
        <rFont val="Times New Roman"/>
        <family val="1"/>
        <charset val="238"/>
      </rPr>
      <t>: új GYÁÓ épület berendezése, bútorok, kerti gépek beszerzése</t>
    </r>
  </si>
  <si>
    <t>104043 Család- és Gyermekjóléti Központ</t>
  </si>
  <si>
    <r>
      <t xml:space="preserve">Térségi Társulás: </t>
    </r>
    <r>
      <rPr>
        <sz val="11"/>
        <rFont val="Times New Roman"/>
        <family val="1"/>
        <charset val="238"/>
      </rPr>
      <t>vagyonkezelt ingatlanokkal kapcsolatos felújítások</t>
    </r>
  </si>
  <si>
    <t>intézmény üzemeltetési támogatás*</t>
  </si>
  <si>
    <t>Maradványfelhasználás fejlesztési célra KESZI</t>
  </si>
  <si>
    <t>Maradványfelhasználás fejlesztési célra Térségi Társulás</t>
  </si>
  <si>
    <t>Maradványfelhasználás fejlesztési célra Családsegítő</t>
  </si>
  <si>
    <t>Társulási maradvány felhasználása intézményfinanszírozásra B8131</t>
  </si>
  <si>
    <t>Térségi tagdíj, felújítási alap támogatása</t>
  </si>
  <si>
    <t>Gyermekjóléti szolgálat támogatása 100 Ft/lakos</t>
  </si>
  <si>
    <t>Maradvány felhasználás, működési, Rovat: B8131</t>
  </si>
  <si>
    <t>Maradvány felhasználás, ÁHT. Belüli megelőlegezés, értékpapír beváltása, működési Rovat: B812, B8131, B814</t>
  </si>
  <si>
    <t>Webnode AG</t>
  </si>
  <si>
    <t>webtárhely - csgykmovar.hu</t>
  </si>
  <si>
    <t>Trendpack Kft</t>
  </si>
  <si>
    <t>Tisztítószer beszerzés</t>
  </si>
  <si>
    <t>Yettel Magyarország Zrt</t>
  </si>
  <si>
    <t>Kiss Szűcs Beáta munkavédelmi technikus E.V.</t>
  </si>
  <si>
    <t>Assist-Trend Kft</t>
  </si>
  <si>
    <t>Lajta Clean Kft.</t>
  </si>
  <si>
    <t>AG FOODS Hungary Kft</t>
  </si>
  <si>
    <t>Turkovics-Elter Violetta</t>
  </si>
  <si>
    <t>AEGON Magyarország Általános Biztosító Zrt.</t>
  </si>
  <si>
    <t>Gastro Kont Kft</t>
  </si>
  <si>
    <t>Dr. Mihályi Zsuzsanna Orvosi Bt</t>
  </si>
  <si>
    <t>125.000.-Ft/hó</t>
  </si>
  <si>
    <t>100.000.-Ft /hó+4.000.-Ft/demensvzsgálat</t>
  </si>
  <si>
    <t>Taxon Bt</t>
  </si>
  <si>
    <t>Győr-Moson-Sopron Vármegyei Katasztófavédelmi Igazgatóság</t>
  </si>
  <si>
    <t>Halker Kft</t>
  </si>
  <si>
    <t>440.000.-Ft/hó</t>
  </si>
  <si>
    <t>Kiss János Mihály</t>
  </si>
  <si>
    <t>3.829.-Ft / hó</t>
  </si>
  <si>
    <t>2024. év</t>
  </si>
  <si>
    <r>
      <t>KESZI</t>
    </r>
    <r>
      <rPr>
        <sz val="11"/>
        <rFont val="Times New Roman"/>
        <family val="1"/>
        <charset val="238"/>
      </rPr>
      <t>: eszközbeszerzés, laptop beszerzések, szoftver beszerzések</t>
    </r>
    <r>
      <rPr>
        <b/>
        <sz val="11"/>
        <rFont val="Times New Roman"/>
        <family val="1"/>
        <charset val="238"/>
      </rPr>
      <t xml:space="preserve"> és csendes szoba kialakítása</t>
    </r>
  </si>
  <si>
    <t>Térségi Társulás működési kiadása</t>
  </si>
  <si>
    <t>Állami hozzájárulások 2024. év</t>
  </si>
  <si>
    <t>Esetleges visszafizetési kötelezettségek (beszámolóhoz kapcsolódóan, utcai szociális munka elszámolásához kapcsolódóan)</t>
  </si>
  <si>
    <t>Közvetett támogatások - 2024. év</t>
  </si>
  <si>
    <t>Finanszírozási terv 2024. év</t>
  </si>
  <si>
    <t>Mosonmagyaróvár Térségi Társulás 2024. évben  az eredeti előirányzatok között nem tervez adósságot keletkezető ügyletet.</t>
  </si>
  <si>
    <t>Mosonmagyaróvár Térségi Társulás adósságot keletkeztető ügylettel nem rendelkezik, és a Stabilitási tv. 45.§ (1) bekezdés a) pontja szerinti saját bevételekkel nem rendelkezik 2024. évben.</t>
  </si>
  <si>
    <t>Támogatás értékű felhalmozási bevétel</t>
  </si>
  <si>
    <t xml:space="preserve">A működési és fejlesztési célú bevételek és kiadások 2024-2027. évi </t>
  </si>
  <si>
    <t xml:space="preserve">Hitel-/kölcsön törlesztések  és projektvizsgálati díjak (Ft-ban)       2024. év    </t>
  </si>
  <si>
    <t>A Mosonmagyaróvár Térségi Társulás 2024. évben  hitelállománnyal nem rendelkezik.</t>
  </si>
  <si>
    <t>2024-as előzetes tervek alapján CSGYK plusz finanszírozási igény különbözete, figyelembe véve a tavalyi gesztor önkormányzati támogatás mértékét</t>
  </si>
  <si>
    <t>2024-as előzetes tervek alapján KESZI plusz finanszírozási igény különbözete, figyelembe véve a tavalyi gesztor önkormányzati támogatás mértékét</t>
  </si>
  <si>
    <t>Lakos (2023. január 1.)</t>
  </si>
  <si>
    <t>gyermekjóléti szolgálat</t>
  </si>
  <si>
    <t>hiányfinanszírozás I.</t>
  </si>
  <si>
    <t>hiányfinanszírozás II.</t>
  </si>
  <si>
    <t>hiányfinanszírozás III.</t>
  </si>
  <si>
    <t>összesen</t>
  </si>
  <si>
    <t>2023-ben teljesített/előírt fizetési kötelezettség</t>
  </si>
  <si>
    <t>KESZI-nél és CSGyK felé fel nem használt</t>
  </si>
  <si>
    <t>2024-ben keletkezett további hiány felének felosztása tagönkormányzatok között</t>
  </si>
  <si>
    <t>2024. évre tervezett fizetési kötelezettség a 42.500.081 Ft működési hiány bevállalásával együtt</t>
  </si>
  <si>
    <t>F45-től F71-ig és az I45-től I71-ig</t>
  </si>
  <si>
    <t>2024-ben</t>
  </si>
  <si>
    <t>hiányfinanszírozás felének bevállalása</t>
  </si>
  <si>
    <t>2024-es előzetes tervek alapján a gesztor önkormányzat új tagdíj kötelezettsége</t>
  </si>
  <si>
    <t>Mosonmagyaróvári Térségi Társulásnak és intézményeinek 2024. évben  az eredeti előirányzatai nem tartalmaz folyamatban lévő EU-s vagy hazai pályázatot, támogatást.</t>
  </si>
  <si>
    <t>Összes hiányfinanszírozás 2024-ben előzetes tervek alapján:</t>
  </si>
  <si>
    <t>Mosonmagyaróvár Térségi Társulás tagjai által fizetendő hozzájárulások, tagdjíak 2024 év</t>
  </si>
  <si>
    <t>Az Áht. 23. § (2) bekezdése alapján a Gst. 8.§ (2) bekezdése szerinti adósságot keletkeztető ügyletek és</t>
  </si>
  <si>
    <t xml:space="preserve">az önkormányzati garanciákból és önkormányzati kezességekből fennálló kötelezettségek az adósságot keletkeztető ügylegek futamidejének végéig </t>
  </si>
  <si>
    <t>2024. január 1.</t>
  </si>
  <si>
    <t>2024. évi eredeti előirányzat</t>
  </si>
  <si>
    <t>2024.06.30-i módosított előirányzat</t>
  </si>
  <si>
    <t>Kistérségi Egyesített Szociális Intézmény eredeti</t>
  </si>
  <si>
    <t>Család és Gyermekjóléti Központ eredeti</t>
  </si>
  <si>
    <t>Kistérségi Egyesített Szociális Intézmény módosított</t>
  </si>
  <si>
    <t>Család és Gyermekjóléti Központ módosított</t>
  </si>
  <si>
    <t>Intézmények módosított összesen:</t>
  </si>
  <si>
    <t>módosított</t>
  </si>
  <si>
    <t>Önk. Jogalkotó tevékenysége 011130     eredeti</t>
  </si>
  <si>
    <t>Önk. Jogalkotó tevékenysége 011130     módosított</t>
  </si>
  <si>
    <t>Eredeti összesen:</t>
  </si>
  <si>
    <t>Módosított összesen:</t>
  </si>
  <si>
    <t>Kistérségi Egyesített Szociális Intézmény   eredeti</t>
  </si>
  <si>
    <t>Kistérségi Egyesített Szociális Intézmény   módosított</t>
  </si>
  <si>
    <t>Térségi Társulás Önk. Jogalkotó tevékenysége 011130   eredeti</t>
  </si>
  <si>
    <t>Térségi Társulás Önk. Jogalkotó tevékenysége 011130   módosított</t>
  </si>
  <si>
    <t>Eredeti mindösszesen:</t>
  </si>
  <si>
    <t>Módosított mindösszesen:</t>
  </si>
  <si>
    <t>Család és Gyermekjóléti Központ   eredeti</t>
  </si>
  <si>
    <t>Család és Gyermekjóléti Központ   módosított</t>
  </si>
  <si>
    <t>ebből Társulás:</t>
  </si>
  <si>
    <t>Intézményfinanszírozás összesen</t>
  </si>
  <si>
    <t>Társulási tartalékból származó forrás (felmentés, jub.jutalom) B8131</t>
  </si>
  <si>
    <t>Térségi Társulás Önk. Jogalkotó tevékenysége 011130  eredeti</t>
  </si>
  <si>
    <t>Térségi Társulás Önk. Jogalkotó tevékenysége 011130  módosított</t>
  </si>
  <si>
    <t>Módosított</t>
  </si>
  <si>
    <t>Módosított előirányzatból</t>
  </si>
  <si>
    <t>Módosított előirányatból</t>
  </si>
  <si>
    <t>Állami támogatás 2024. év eredeti előirányzat</t>
  </si>
  <si>
    <t>Állami támogatás 2024. év módosított előirányzat 2024.06.30</t>
  </si>
  <si>
    <t>Szociális ágazati pótlék - KESZI</t>
  </si>
  <si>
    <t>Szociális ágazati pótlék - CSGYK</t>
  </si>
  <si>
    <t>Egészségügyi kiegészítő pótlék - KESZI</t>
  </si>
  <si>
    <t>Eredeti előirányzat 2024.01.01</t>
  </si>
  <si>
    <t>Módosított előirányzat 2024.06.30</t>
  </si>
  <si>
    <t>130/2024. (VI.27.) Kt. Határozat szerinti 10 % bérfejlesztés és második kétheti bérkiegészítés forrása a gesztor támogatás növelésével - KESZI</t>
  </si>
  <si>
    <t>130/2024. (VI.27.) Kt. Határozat szerinti 10 % bérfejlesztés és második kétheti bérkiegészítés forrása a gesztor támogatás növelésével - CSGYK</t>
  </si>
  <si>
    <t>2024.09.30-i módosított előirányzat</t>
  </si>
  <si>
    <t>Állami támogatás 2024. év módosított előirányzat 2024.09.30</t>
  </si>
  <si>
    <t>személyi gondozás</t>
  </si>
  <si>
    <t>időskorúak nappali intézményi ellátása</t>
  </si>
  <si>
    <t>fogyatékos szem-ek nappali intézményi ellátása - autista diagn.nem rend.ellátottak</t>
  </si>
  <si>
    <t>fogyatékos szem-ek nappali intézményi ellátása - autista diagnózisú ellátottak</t>
  </si>
  <si>
    <t>demens személyek nappali intézményi ellátása</t>
  </si>
  <si>
    <t>hajléktalanok átmeneti szállása</t>
  </si>
  <si>
    <t>szociális intézmények üzemeltetési támogatása ellátottak alapján</t>
  </si>
  <si>
    <t>ebből KESZI</t>
  </si>
  <si>
    <t>ebből CSK</t>
  </si>
  <si>
    <t>Mindösszesen állami támogatás változás</t>
  </si>
  <si>
    <t>bevétel 09.30</t>
  </si>
  <si>
    <t>Módosított előirányzat 2024.09.30</t>
  </si>
  <si>
    <t>2024.12.31-i módosított előirányzat</t>
  </si>
  <si>
    <t>CÍMREND</t>
  </si>
  <si>
    <t>Módosított előirányzat 2024.12.31</t>
  </si>
  <si>
    <t>Állami támogatás 2024. év módosított előirányzat 2024.12.31</t>
  </si>
  <si>
    <t>Nemzeti Népegészségügyi és Gyógyszerészeti Központ.</t>
  </si>
  <si>
    <t>Család- és Gyermekjóléti Központ KEB-ELT - drogpont elterelés támogatása</t>
  </si>
  <si>
    <t>Időskorúak nappali intézményi ellátása</t>
  </si>
  <si>
    <t>Demens személyek nappali intézményi ellátása</t>
  </si>
  <si>
    <t>Hajléktalanok átmeneti szállása</t>
  </si>
  <si>
    <t>Intézmény üzemeltetési támogatás (szoc.)</t>
  </si>
  <si>
    <t>Minösszesen állami támogatás változás</t>
  </si>
  <si>
    <t>2024. évi költségvetés végrehajtása - mellékletek</t>
  </si>
  <si>
    <t>Vagyonmérleg</t>
  </si>
  <si>
    <t>Eredménykimutatás</t>
  </si>
  <si>
    <t>Maradványkimutatás</t>
  </si>
  <si>
    <t>Bevételek kormányzati funkciónként</t>
  </si>
  <si>
    <t>Kiadások kormányzati funkciónként</t>
  </si>
  <si>
    <t>Mosonmagyaróvár Térségi Társulás tagjai által fizetendő hozzájárulások, tagdjíak 2024. év</t>
  </si>
  <si>
    <t>Mosonmagyaróvár Térségi Társulás tagönkormányzati által teljesített befizetések felosztása, elszámolása</t>
  </si>
  <si>
    <t>Hitel-, kölcsöntörlesztések, kamatfizetési kötelezettségek</t>
  </si>
  <si>
    <t>EU-s támogatással megvalósuló projektek</t>
  </si>
  <si>
    <t>Teljesítésből</t>
  </si>
  <si>
    <t>Teljesítés</t>
  </si>
  <si>
    <t>Kistérségi Egyesített Szociális Intézmény teljesítés</t>
  </si>
  <si>
    <t>Család és Gyermekjóléti Központ teljesítés</t>
  </si>
  <si>
    <t>Mosonmagyaróvári Térségi Társulás és intézmnyei  2024. évi összevont költségvetési mérlege</t>
  </si>
  <si>
    <t>Mosonmagyaróvái Térségi Társulás és intézményei 2024. évi összevont  költségvetési mérlege</t>
  </si>
  <si>
    <t>Intézmények teljesítés összesen:</t>
  </si>
  <si>
    <t>Önk. Jogalkotó tevékenysége 011130     teljesítés</t>
  </si>
  <si>
    <t>Teljesítés összesen:</t>
  </si>
  <si>
    <t>2024.12.31 teljesített bevétel</t>
  </si>
  <si>
    <t>2024.12.31 teljesített kiadás</t>
  </si>
  <si>
    <t>Év végi elszámolás alapján járó támogatás</t>
  </si>
  <si>
    <t>Év végi elszámolás alapján járó (+) vagy visszafizetendő (-) támogatás*</t>
  </si>
  <si>
    <t>Teljesítés 2024.12.31-én</t>
  </si>
  <si>
    <t>2024. évi beszámoló eredménye</t>
  </si>
  <si>
    <r>
      <t>2024. Májusi felmérés eredménye</t>
    </r>
    <r>
      <rPr>
        <sz val="10"/>
        <color theme="1"/>
        <rFont val="Arial"/>
        <family val="2"/>
        <charset val="238"/>
      </rPr>
      <t xml:space="preserve"> </t>
    </r>
  </si>
  <si>
    <t xml:space="preserve">2024. Októberi felmérés eredménye </t>
  </si>
  <si>
    <t>2024. ÉVI KÖLTSÉGVETÉS VÉGREHAJTÁSÁNAK HATÁROZATÁHOZ</t>
  </si>
  <si>
    <t>2024. évi költségvetésének végrehajtásáról szóló határozatához</t>
  </si>
  <si>
    <t>2024. december 31.</t>
  </si>
  <si>
    <t>záró</t>
  </si>
  <si>
    <t>átlagos statisztikai létszám</t>
  </si>
  <si>
    <t>Mosonmagyaróvár Térségi Társulás tagönkormányzatai által teljesített befizetések felosztása, elszámolása</t>
  </si>
  <si>
    <t>Előirányzat Ft</t>
  </si>
  <si>
    <t>Teljesített befizetés Ft</t>
  </si>
  <si>
    <t>Tartozás/Túlfizetés Ft</t>
  </si>
  <si>
    <t xml:space="preserve">Megjegyzés </t>
  </si>
  <si>
    <t>27 település befizetései</t>
  </si>
  <si>
    <t>Társulási tagdíj (270 Ft/lakos)</t>
  </si>
  <si>
    <t>Térségi Társulás finanszírozásra használva</t>
  </si>
  <si>
    <t>Gyermekjólét támogatása (100 Ft/lakos)</t>
  </si>
  <si>
    <t>felhasználás a CSGYK szervezet működéséhez</t>
  </si>
  <si>
    <t>Felújítási alap (100 Ft/lakos)</t>
  </si>
  <si>
    <t>Kiegészítő hozzájárulás (1.223 Ft/lakos)</t>
  </si>
  <si>
    <t>Részben felhasználásra került a CSGYK-n belül a család és gyermekjóléti szolgálat feladat ellátáshoz, a KESZI- n belül házi segítségnyújtáshoz és  a szociális étkeztetés feladat ellátáshoz.</t>
  </si>
  <si>
    <t>Mosonmagyaróvár Város Önkormányzat által finanszírozott hiány a társulás intézményeihez kapcsolódóan (gesztor támogatása)</t>
  </si>
  <si>
    <t>Összes befizetésból Mosonmagyaróvár Város Önkormányzatára jutó</t>
  </si>
  <si>
    <t>Összes befizetésből a többi tagtelepülésre jutó</t>
  </si>
  <si>
    <t>Tartozás/Túlfizetés</t>
  </si>
  <si>
    <t>Az 1 223 Ft/lakos külön hozzájárulás elszámolása</t>
  </si>
  <si>
    <t>Összes bevétel:</t>
  </si>
  <si>
    <t>Feladatok</t>
  </si>
  <si>
    <t>Család és gyermekjóléti szolgálat</t>
  </si>
  <si>
    <t>Házi segítségnyújtás és jelzőrendszeres házi segítségnyújtás</t>
  </si>
  <si>
    <t>Gesztor Önkormányzati támogatás létszámarányos felhasználása</t>
  </si>
  <si>
    <t>Intézményi bevétellel és állami támogatással nem fedezett kiadás</t>
  </si>
  <si>
    <t>Teljesített kiegészítő hozzájárulás a hiány finanszírozáshoz</t>
  </si>
  <si>
    <t>A kiemelt kormányzati funkciók vonatkozásában kiegészítő hozzájárulási többlet</t>
  </si>
  <si>
    <t>EU-s támogatással megvalósuló projektek (adatok Ft-ban)</t>
  </si>
  <si>
    <t>26. melléklet</t>
  </si>
  <si>
    <t>Mosonmagyaróvári Térségi Társulás és intézményei 2024. évi teljesítési adatai nem tartalmaznak folyamatban lévő EU-s vagy hazai pályázatot, támogatást.</t>
  </si>
  <si>
    <t>ÉS IRÁNYÍTÁSA ALÁ TARTOZÓ INTÉZMÉNYEK</t>
  </si>
  <si>
    <t>VAGYONMÉRLEG</t>
  </si>
  <si>
    <t xml:space="preserve">2024. ÉVI KÖLTSÉGVETÉSÉNEK VÉGREHAJTÁSA </t>
  </si>
  <si>
    <t>Előző időszak 2023.12.31</t>
  </si>
  <si>
    <t>Tárgyi időszak 2024.12.31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</si>
  <si>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</si>
  <si>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</si>
  <si>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</si>
  <si>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</si>
  <si>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A) NEMZETI VAGYONBA TARTOZÓ BEFEKTETETT ESZKÖZÖK (=A/I+A/II+A/III+A/IV)</t>
  </si>
  <si>
    <t>C/III/1 Kincstáron kívüli forintszámlák</t>
  </si>
  <si>
    <t>C/III/2 Kincstárban vezetett forintszámlák</t>
  </si>
  <si>
    <t>C/III Forintszámlák (=C/III/1+C/III/2)</t>
  </si>
  <si>
    <t>C) PÉNZESZKÖZÖK (=C/I+…+C/IV)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</si>
  <si>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</si>
  <si>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</si>
  <si>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</si>
  <si>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</si>
  <si>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F/1  Eredményszemléletű bevételek aktív időbeli elhatárolása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</si>
  <si>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</si>
  <si>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</si>
  <si>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</si>
  <si>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</si>
  <si>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</si>
  <si>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</si>
  <si>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</si>
  <si>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</si>
  <si>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</si>
  <si>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H/I/1 Költségvetési évben esedékes kötelezettségek személyi juttatásokra</t>
  </si>
  <si>
    <t>H/I/3 Költségvetési évben esedékes kötelezettségek dologi kiadásokra</t>
  </si>
  <si>
    <t>H/I Költségvetési évben esedékes kötelezettségek (=H/I/1+…+H/I/9)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</si>
  <si>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</si>
  <si>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</si>
  <si>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</si>
  <si>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</si>
  <si>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</si>
  <si>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Család- és Gyermekjóléti Központ</t>
  </si>
  <si>
    <t>C/II/1 Forintpénztár</t>
  </si>
  <si>
    <t>C/II Pénztárak, csekkek, betétkönyvek (=C/II/1+C/II/2+C/II/3)</t>
  </si>
  <si>
    <t>D/I/4 Költségvetési évben esedékes követelések működési bevételre (=D/I/4a+…+D/I/4i)</t>
  </si>
  <si>
    <t>D/I/4c - ebből: költségvetési évben esedékes követelések ellátási díjakra</t>
  </si>
  <si>
    <t>D/I Költségvetési évben esedékes követelések (=D/I/1+…+D/I/8)</t>
  </si>
  <si>
    <t>D/III/1 Adott előlegek (=D/III/1a+…+D/III/1f)</t>
  </si>
  <si>
    <t>D/III/1e - ebből: foglalkoztatottaknak adott előlegek</t>
  </si>
  <si>
    <t>D/III Követelés jellegű sajátos elszámolások (=D/III/1+…+D/III/9)</t>
  </si>
  <si>
    <t>D) KÖVETELÉSEK  (=D/I+D/II+D/III)</t>
  </si>
  <si>
    <t>H/III/7 Letétre, megőrzésre, fedezetkezelésre átvett pénzeszközök, biztosítékok</t>
  </si>
  <si>
    <t>H/III Kötelezettség jellegű sajátos elszámolások (=H/III/1+…+H/III/10)</t>
  </si>
  <si>
    <t>A/I/2 Szellemi termékek</t>
  </si>
  <si>
    <t>A/I Immateriális javak (=A/I/1+A/I/2+A/I/3)</t>
  </si>
  <si>
    <t>B/I/1 Vásárolt készletek</t>
  </si>
  <si>
    <t>B/I Készletek (=B/I/1+…+B/I/5)</t>
  </si>
  <si>
    <t>B) NEMZETI VAGYONBA TARTOZÓ FORGÓESZKÖZÖK (= B/I+B/II)</t>
  </si>
  <si>
    <t>C/II/3 Betétkönyvek, csekkek, elektronikus pénzeszközök</t>
  </si>
  <si>
    <t>D/I/4a - ebből: költségvetési évben esedékes követelések készletértékesítés ellenértékére, szolgáltatások ellenértékére, közvetített szolgáltatások ellenértékére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</si>
  <si>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</si>
  <si>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</si>
  <si>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D/III/1c - ebből: készletekre adott előlegek</t>
  </si>
  <si>
    <t>E/I/3 Adott előleghez kapcsolódó előzetesen felszámított nem levonható általános forgalmi adó</t>
  </si>
  <si>
    <t>E/I/4 Más előzetesen felszámított nem levonható általános forgalmi adó</t>
  </si>
  <si>
    <t>E) EGYÉB SAJÁTOS ELSZÁMOLÁSOK (=E/I+E/II+E/III)</t>
  </si>
  <si>
    <t>H/III/1 Kapott előlegek</t>
  </si>
  <si>
    <t>Mosonmagyaróvár Térségi Társulás és intézményei összevont vagyonmérlege</t>
  </si>
  <si>
    <t xml:space="preserve">                                                                                                                                                                            MOSONMAGYARÓVÁR TÉRSÉGI TÁRSULÁS                                                                               </t>
  </si>
  <si>
    <t>EREDMÉNYKIMUTATÁS</t>
  </si>
  <si>
    <t>02 Eszközök és szolgáltatások értékesítése nettó eredményszemléletű bevételei</t>
  </si>
  <si>
    <t>I Tevékenység nettó eredményszemléletű bevétele (=01+02+03)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</si>
  <si>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</si>
  <si>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</si>
  <si>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</si>
  <si>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</si>
  <si>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11 Igénybe vett szolgáltatások értéke</t>
  </si>
  <si>
    <t>13 Eladott (közvetített) szolgáltatások értéke</t>
  </si>
  <si>
    <t>IV Anyagjellegű ráfordítások (=10+11+12+13)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</si>
  <si>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</si>
  <si>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</si>
  <si>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</si>
  <si>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</si>
  <si>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</si>
  <si>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</si>
  <si>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</si>
  <si>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</si>
  <si>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B)  PÉNZÜGYI MŰVELETEK EREDMÉNYE (=VIII-IX)</t>
  </si>
  <si>
    <t>C)  MÉRLEG SZERINTI EREDMÉNY (=±A±B)</t>
  </si>
  <si>
    <t>06 Központi működési célú támogatások eredményszemléletű bevételei</t>
  </si>
  <si>
    <t>10 Anyagköltség</t>
  </si>
  <si>
    <t>14 Bérköltség</t>
  </si>
  <si>
    <t>Mosonmagyaróvár Térségi Társulás és intézményei összevont eredménykimutatása</t>
  </si>
  <si>
    <t>MARADVÁNYKIMUTATÁSA 2024. DECEMBER 31-ÉN</t>
  </si>
  <si>
    <t>Összeg 2024.12.31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</si>
  <si>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</si>
  <si>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</si>
  <si>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</si>
  <si>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</si>
  <si>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</si>
  <si>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</si>
  <si>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</si>
  <si>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</si>
  <si>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</si>
  <si>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Mosonmagyaróvár Térségi Társulás és intézményei összevont maradványkimutatása</t>
  </si>
  <si>
    <t>BEVÉTELEK ALAKULÁSA 2024. DECEMBER 31-ÉN</t>
  </si>
  <si>
    <t>011130 Önkormányzatok és önkormányzati hivatalok jogalkotó és általános igazgatási tevékenysége</t>
  </si>
  <si>
    <t>102023 Időskorúak tartós bentlakásos ellátása</t>
  </si>
  <si>
    <t>999999 Kormányzati funkcióra fel nem osztott tevékenységek kiadásai és bevételei</t>
  </si>
  <si>
    <t>Egyéb működési célú támogatások bevételei államháztartáson belülről (=35+…+44) (B16)</t>
  </si>
  <si>
    <t>ebből: egyéb fejezeti kezelésű előirányzatok (B16)</t>
  </si>
  <si>
    <t>ebből: helyi önkormányzatok és költségvetési szerveik (B16)</t>
  </si>
  <si>
    <t>Működési célú támogatások államháztartáson belülről (=09+...+12+23+34) (B1)</t>
  </si>
  <si>
    <t>Egyéb felhalmozási célú támogatások bevételei államháztartáson belülről (=71+…+80) (B25)</t>
  </si>
  <si>
    <t>ebből: helyi önkormányzatok és költségvetési szerveik (B25)</t>
  </si>
  <si>
    <t>Felhalmozási célú támogatások államháztartáson belülről (=46+47+48+59+70) (B2)</t>
  </si>
  <si>
    <t>Közvetített szolgáltatások ellenértéke  (&gt;=188) (B403)</t>
  </si>
  <si>
    <t>ebből: államháztartáson belül (B403)</t>
  </si>
  <si>
    <t>Ellátási díjak (B405)</t>
  </si>
  <si>
    <t>Kiszámlázott általános forgalmi adó (B406)</t>
  </si>
  <si>
    <t>Egyéb kapott (járó) kamatok és kamatjellegű bevételek (&gt;=204+205+206) (B4082)</t>
  </si>
  <si>
    <t>Kamatbevételek és más nyereségjellegű bevételek (=199+203) (B408)</t>
  </si>
  <si>
    <t>Egyéb működési bevételek (&gt;=217+218) (B411)</t>
  </si>
  <si>
    <t>Működési bevételek (=183+184+187+189+196+197+198+207+214+215+216) (B4)</t>
  </si>
  <si>
    <t>Költségvetési bevételek (=45+81+182+219+230+256+282) (B1-B7)</t>
  </si>
  <si>
    <t>Előző év költségvetési maradványának igénybevétele (B8131)</t>
  </si>
  <si>
    <t>Maradvány igénybevétele (=294+295) (B813)</t>
  </si>
  <si>
    <t>Belföldi finanszírozás bevételei (=287+293+296+…+301+304) (B81)</t>
  </si>
  <si>
    <t>Finanszírozási bevételek (=305+311+312+313) (B8)</t>
  </si>
  <si>
    <t>Bevételek összesen (=283+314) (B1-B8)</t>
  </si>
  <si>
    <t>104012 Gyermekek átmeneti ellátása</t>
  </si>
  <si>
    <t>104042 Család és gyermekjóléti szolgáltatások</t>
  </si>
  <si>
    <t>104043 Család és gyermekjóléti központ</t>
  </si>
  <si>
    <t>Egyéb működési célú átvett pénzeszközök (=245…+255) (B65)</t>
  </si>
  <si>
    <t>ebből: egyéb civil szervezetek (B65)</t>
  </si>
  <si>
    <t>Működési célú átvett pénzeszközök (=231+...+234+244) (B6)</t>
  </si>
  <si>
    <t>Központi, irányító szervi támogatás (B816)</t>
  </si>
  <si>
    <t>041233 Hosszabb időtartamú közfoglalkoztatás</t>
  </si>
  <si>
    <t>101221 Fogyatékossággal élők nappali ellátása</t>
  </si>
  <si>
    <t>102024 Demens betegek tartós bentlakásos ellátása</t>
  </si>
  <si>
    <t>102025 Időskorúak átmeneti ellátása</t>
  </si>
  <si>
    <t>102026 Demens betegek átmeneti ellátása</t>
  </si>
  <si>
    <t>102032 Demens betegek nappali ellátása</t>
  </si>
  <si>
    <t>107013 Hajléktalanok átmeneti ellátása</t>
  </si>
  <si>
    <t>107030 Szociális foglalkoztatás, fejlesztő foglalkoztatás</t>
  </si>
  <si>
    <t>107051 Szociális étkeztetés szociális konyhán</t>
  </si>
  <si>
    <t>107052 Házi segítségnyújtás</t>
  </si>
  <si>
    <t>107053 Jelzőrendszeres házi segítségnyújtás</t>
  </si>
  <si>
    <t>ebből: elkülönített állami pénzalapok (B16)</t>
  </si>
  <si>
    <t>Készletértékesítés ellenértéke (B401)</t>
  </si>
  <si>
    <t>Szolgáltatások ellenértéke (&gt;=185+186) (B402)</t>
  </si>
  <si>
    <t>Általános forgalmi adó visszatérítése (B407)</t>
  </si>
  <si>
    <t>Mosonmagyaróvár Térségi Társulás összevont</t>
  </si>
  <si>
    <t>KIADÁSOK ALAKULÁSA KORMÁNYZATI FUNKCIÓNKÉNT 2024. DECEMBER 31-ÉN</t>
  </si>
  <si>
    <t>013350 Az önkormányzati vagyonnal való gazdálkodással kapcsolatos feladatok</t>
  </si>
  <si>
    <t>084032 Civil szervezetek programtámogatása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</si>
  <si>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</si>
  <si>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</si>
  <si>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</si>
  <si>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                                                                          (K2)</t>
  </si>
  <si>
    <t>ebből: szociális hozzájárulási adó (K2)</t>
  </si>
  <si>
    <t>ebből: munkáltatót terhelő személyi jövedelemadó (K2)</t>
  </si>
  <si>
    <t>Informatikai szolgáltatások igénybevétele (K321)</t>
  </si>
  <si>
    <t>Kommunikációs szolgáltatások (=32+33) (K32)</t>
  </si>
  <si>
    <t>Karbantartási, kisjavítási szolgáltatások (K334)</t>
  </si>
  <si>
    <t>Közvetített szolgáltatások  (&gt;=45) (K335)</t>
  </si>
  <si>
    <t>ebből: államháztartáson belül (K335)</t>
  </si>
  <si>
    <t>Egyéb szolgáltatások (&gt;=48) (K337)</t>
  </si>
  <si>
    <t>Szolgáltatási kiadások (=39+40+41+43+44+46+47) (K33)</t>
  </si>
  <si>
    <t>Működési célú előzetesen felszámított általános forgalmi adó (K351)</t>
  </si>
  <si>
    <t>Egyéb dologi kiadások (K355)</t>
  </si>
  <si>
    <t>Különféle befizetések és egyéb dologi kiadások (=53+54+55+58+62) (K35)</t>
  </si>
  <si>
    <t>Dologi kiadások (=31+34+49+52+63) (K3)</t>
  </si>
  <si>
    <t>Egyéb működési célú támogatások államháztartáson belülre (=155+…+164) (K506)</t>
  </si>
  <si>
    <t>ebből: egyéb fejezeti kezelésű előirányzatok (K506)</t>
  </si>
  <si>
    <t>ebből: helyi önkormányzatok és költségvetési szerveik (K506)</t>
  </si>
  <si>
    <t>Egyéb működési célú támogatások államháztartáson kívülre (=183+…+192) (K512)</t>
  </si>
  <si>
    <t>ebből: egyéb civil szervezetek (K512)</t>
  </si>
  <si>
    <t>Egyéb működési célú kiadások (=125+130+131+132+143+154+165+167+179+180+181+182+193) (K5)</t>
  </si>
  <si>
    <t>Ingatlanok felújítása (K71)</t>
  </si>
  <si>
    <t>Felújítási célú előzetesen felszámított általános forgalmi adó (K74)</t>
  </si>
  <si>
    <t>Felújítások (=206+...+209) (K7)</t>
  </si>
  <si>
    <t>Költségvetési kiadások (=20+21+64+124+194+205+210+272) (K1-K8)</t>
  </si>
  <si>
    <t>Központi, irányító szervi támogatások folyósítása (K915)</t>
  </si>
  <si>
    <t>Belföldi finanszírozás kiadásai (=279+290+…+296+299) (K91)</t>
  </si>
  <si>
    <t>Finanszírozási kiadások (=300+308+309+310) (K9)</t>
  </si>
  <si>
    <t>Kiadások összesen (=273+311) (K1-K9)</t>
  </si>
  <si>
    <t>Törvény szerinti illetmények, munkabérek (K1101)</t>
  </si>
  <si>
    <t>Céljuttatás, projektprémium (K1103)</t>
  </si>
  <si>
    <t>Készenléti, ügyeleti, helyettesítési díj, túlóra, túlszolgálat (K1104)</t>
  </si>
  <si>
    <t>Jubileumi jutalom (K1106)</t>
  </si>
  <si>
    <t>Béren kívüli juttatások (K1107)</t>
  </si>
  <si>
    <t>Közlekedési költségtérítés (K1109)</t>
  </si>
  <si>
    <t>Foglalkoztatottak egyéb személyi juttatásai (&gt;=14) (K1113)</t>
  </si>
  <si>
    <t>Foglalkoztatottak személyi juttatásai (=01+…+13) (K11)</t>
  </si>
  <si>
    <t>Munkavégzésre irányuló egyéb jogviszonyban nem saját foglalkoztatottnak fizetett juttatások (K122)</t>
  </si>
  <si>
    <t>ebből: rehabilitációs hozzájárulás (K2)</t>
  </si>
  <si>
    <t>ebből: táppénz hozzájárulás (K2)</t>
  </si>
  <si>
    <t>Szakmai anyagok beszerzése (K311)</t>
  </si>
  <si>
    <t>Üzemeltetési anyagok beszerzése (K312)</t>
  </si>
  <si>
    <t>Készletbeszerzés (=28+29+30) (K31)</t>
  </si>
  <si>
    <t>Egyéb kommunikációs szolgáltatások (K322)</t>
  </si>
  <si>
    <t>Villamosenergia szolgáltatás díja (K3311)</t>
  </si>
  <si>
    <t>Gázenergia szolgáltatás díja (K3312)</t>
  </si>
  <si>
    <t>Víz- és csatorna szolgáltatás díja (K3314)</t>
  </si>
  <si>
    <t>Közüzemi díjak (= 35+…+38) (K331)</t>
  </si>
  <si>
    <t>Vásárolt élelmezés (K332)</t>
  </si>
  <si>
    <t>Bérleti és lízing díjak (&gt;=42) (K333)</t>
  </si>
  <si>
    <t>Szakmai tevékenységet segítő szolgáltatások  (K336)</t>
  </si>
  <si>
    <t>ebből: biztosítási díjak (K337)</t>
  </si>
  <si>
    <t>Kiküldetések kiadásai (K341)</t>
  </si>
  <si>
    <t>Kiküldetések, reklám- és propagandakiadások (=50+51) (K34)</t>
  </si>
  <si>
    <t>Intézményi ellátottak pénzbeli juttatásai (&gt;=102+103) (K47)</t>
  </si>
  <si>
    <t>Ellátottak pénzbeli juttatásai (=65+66+77+78+89+98+101+104) (K4)</t>
  </si>
  <si>
    <t>Immateriális javak beszerzése, létesítése (K61)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</si>
  <si>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</si>
  <si>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</si>
  <si>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</si>
  <si>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(=195+196+198+199+200+202+204) (K6)</t>
  </si>
  <si>
    <t>Átlagos statisztikai állományi létszám</t>
  </si>
  <si>
    <t>107015 Hajléktalanok nappali ellátása</t>
  </si>
  <si>
    <t>107016 Utcai szociális munka</t>
  </si>
  <si>
    <t>107050 Szociális étkeztetés népkonyhán</t>
  </si>
  <si>
    <t>Távhő- és melegvíz szolgáltatás díja (K3313)</t>
  </si>
  <si>
    <t>Reklám- és propagandakiadások (K342)</t>
  </si>
  <si>
    <t>ebből: társulások és költségvetési szerveik (K506)</t>
  </si>
  <si>
    <t>Teljesített befizetés 2024-ben</t>
  </si>
  <si>
    <t>Eltérés</t>
  </si>
  <si>
    <t>2024. évi befizetési kötelezettség minden tagönkormányzat teljesítette.</t>
  </si>
  <si>
    <t>Tagtelepülések által KESZI-nek és CSGYK-nak fizetett összeg</t>
  </si>
  <si>
    <t>beszámoló alapján 2024.12.31</t>
  </si>
  <si>
    <t>ezen kívüli hozzájárulás (tagdíj)</t>
  </si>
  <si>
    <t>eredeti gesztor támogatás</t>
  </si>
  <si>
    <t>2024. július 1-jétől hatályos 10 %-os béremelés és a 2. kétheti bérkiegészítés fedezete</t>
  </si>
  <si>
    <t>állami támogatás korrekció</t>
  </si>
  <si>
    <t>2024. évi teljesített gesztor támogatás</t>
  </si>
  <si>
    <t>2024. évi teljesített tagdíj</t>
  </si>
  <si>
    <t>Gesztor 2024. évi teljesített befizetése</t>
  </si>
  <si>
    <t>k</t>
  </si>
  <si>
    <t>b</t>
  </si>
  <si>
    <t>m</t>
  </si>
  <si>
    <t>Térségi Társulás Önk. Jogalkotó tevékenysége 011130   teljesítés</t>
  </si>
  <si>
    <t>Teljesítés mindösszesen:</t>
  </si>
  <si>
    <t>Kistérségi Egyesített Szociális Intézmény   teljesítés</t>
  </si>
  <si>
    <t>Család és Gyermekjóléti Központ   teljesítés</t>
  </si>
  <si>
    <t>teljesítés</t>
  </si>
  <si>
    <t>Térségi Társulás Önk. Jogalkotó tevékenysége 011130  teljesítés</t>
  </si>
  <si>
    <t>013351</t>
  </si>
  <si>
    <t>Int.fin.</t>
  </si>
  <si>
    <t>ebből CSGYK</t>
  </si>
  <si>
    <t>Összesen járó támogatás</t>
  </si>
  <si>
    <t>KESZI közfoglalkoztatás támogatása</t>
  </si>
  <si>
    <t>KESZI - élelmiszer vásárlás, évzáró támogatása, Virágoskert Idősek Otthona választókerületi támogatás</t>
  </si>
  <si>
    <t>CSGYK - tartós élemiszer vásárlás és nyári tábor támogatása</t>
  </si>
  <si>
    <t>2023. évi beszámoló és a jelzőrendszeres házi segítségnyújtás 2023. évi elszámolásának visszafizetés a társulás felé</t>
  </si>
  <si>
    <t>2024. ÉVI KÖLTSÉGVETÉS VÉGREHAJTÁSÁRÓL SZÓLÓ HATÁROZAT MELLÉKLETE</t>
  </si>
  <si>
    <t>2024. évben</t>
  </si>
  <si>
    <t>2024-ben sem nem túlfizetés sem nem elmaradás nem keletkezett.</t>
  </si>
  <si>
    <t xml:space="preserve">2024.12.31-én záró egyenleg 26.001.978,- Ft. </t>
  </si>
  <si>
    <t>KESZI és CSGYK működési hiányának finanszírozására (445,24 Ft/lakos)</t>
  </si>
  <si>
    <t>2024-ben keletkezett hiány felének felosztása</t>
  </si>
  <si>
    <t>lakosságszám arány: 37,92 %</t>
  </si>
  <si>
    <t>lakosságszám arány: 62,08 %</t>
  </si>
  <si>
    <t>A kiemelt kormányzati funkciók vonatkozásában kiegészítő hozzájárulás többlet</t>
  </si>
  <si>
    <t>Intézmény/jogcímek</t>
  </si>
  <si>
    <t>Állami támogatás (normatív)</t>
  </si>
  <si>
    <t>Tagtelepülések által befizetett hozzájárulások (kiegészítő hozzájárulás, GYÁÓ támogatására fizetett hozzájárulás)</t>
  </si>
  <si>
    <t>Társulás céltartalékjából átadott forrás (jubileumi jutalom, felmentési bér)</t>
  </si>
  <si>
    <t>Bevételek és kiadások egyenlege</t>
  </si>
  <si>
    <t>Mosonmagyaróvár Város Önkormányzata által átadott, de fel nem használt hiányfinanszírozás</t>
  </si>
  <si>
    <t>2024. december 31-ig teljesült kiadás</t>
  </si>
  <si>
    <t>2024. december 31-ig teljesült bevétel</t>
  </si>
  <si>
    <t xml:space="preserve">Állami támogatás </t>
  </si>
  <si>
    <t>2024. december 31-ig átadott gesztor támogatás</t>
  </si>
  <si>
    <t>Intézmény összes kiadása 2024. december 31-ig</t>
  </si>
  <si>
    <t>1223 Ft/lakos</t>
  </si>
  <si>
    <t>CSK</t>
  </si>
  <si>
    <t>Intézmények működésének támogatása (157.198 Ft + 37.359.330 Ft =37.516.528 Ft) 445,24 Ft/lakos</t>
  </si>
  <si>
    <t>2024-ben keletkezett további hiány felének felosztása tagönkormányzatok között 504,38 Ft/lakos</t>
  </si>
  <si>
    <t>hiányfin. I.</t>
  </si>
  <si>
    <t>hiányfin. II.</t>
  </si>
  <si>
    <t>Intézményekre felosztás</t>
  </si>
  <si>
    <t xml:space="preserve">Intézmény saját bevételi forrása előző évi maradványfelhasználással együtt 2024. december 31-ig </t>
  </si>
  <si>
    <t>1. melléklet</t>
  </si>
  <si>
    <t>Teljesítés 2024.12.31</t>
  </si>
  <si>
    <t>Mosonmagyaróvár, 2025. május 15.</t>
  </si>
  <si>
    <t>2024. évi költségvetési előirányzat/teljesítés költségvetési szervenként  Ft-ban</t>
  </si>
  <si>
    <t>AMosonmagyaróvár Térségi Társulás 2024. évben  hitelállománnyal nem rendelkezik.</t>
  </si>
  <si>
    <t>A 445,24 Ft/lakos működési hiány finanszírozásának külön hozzájárulása elszámolása</t>
  </si>
  <si>
    <t>101221-107015 kormányzati funkciók - KESZI</t>
  </si>
  <si>
    <t>104012, 104043 kormányzati funkciók - CSGYK</t>
  </si>
  <si>
    <r>
      <t xml:space="preserve">Egyéb központi támogatás (fejlesztő foglalkozás, jelzőrendszeres házi segítségnyújtás, utcai szociális munka), </t>
    </r>
    <r>
      <rPr>
        <sz val="10"/>
        <rFont val="Arial"/>
        <family val="2"/>
        <charset val="238"/>
      </rPr>
      <t>valamint Mosonmagyaróvár Önk. kapott egyéb támogatás</t>
    </r>
  </si>
  <si>
    <t>1223 Ft/lakos hozzájárulás elszámolásánál felhasznált gesztori támogatás</t>
  </si>
  <si>
    <t>445,24 Ft/lakos illetve 504,38 Ft/lakos hozzájárulás elszámolásánál felhasznált gesztori támogatás</t>
  </si>
  <si>
    <t>Elkülönített állami pénzalap</t>
  </si>
  <si>
    <t>25. melléklet</t>
  </si>
  <si>
    <t>2024-ben keletkezett hiány finanszírozásának külön hozzájárulása elszámolása 504,38 Ft/fő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</si>
</sst>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\ &quot;Ft&quot;"/>
    <numFmt numFmtId="165" formatCode="_-* #,##0\ _F_t_-;\-* #,##0\ _F_t_-;_-* &quot;-&quot;??\ _F_t_-;_-@_-"/>
    <numFmt numFmtId="166" formatCode="[$-40E]General"/>
    <numFmt numFmtId="167" formatCode="&quot; &quot;#,##0.00&quot;     &quot;;&quot;-&quot;#,##0.00&quot;     &quot;;&quot; -&quot;#&quot;     &quot;;&quot; &quot;@&quot; &quot;"/>
    <numFmt numFmtId="168" formatCode="[$-40E]#,##0"/>
    <numFmt numFmtId="169" formatCode="#,##0.00\ &quot;Ft&quot;"/>
    <numFmt numFmtId="170" formatCode="_-* #,##0.00_-;\-* #,##0.00_-;_-* &quot;-&quot;??_-;_-@_-"/>
    <numFmt numFmtId="171" formatCode="_-* #,##0_-;\-* #,##0_-;_-* &quot;-&quot;??_-;_-@_-"/>
    <numFmt numFmtId="172" formatCode="_-* #,##0\ &quot;Ft&quot;_-;\-* #,##0\ &quot;Ft&quot;_-;_-* &quot;-&quot;??\ &quot;Ft&quot;_-;_-@_-"/>
  </numFmts>
  <fonts count="10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i/>
      <sz val="8"/>
      <name val="Arial"/>
      <family val="2"/>
      <charset val="238"/>
    </font>
    <font>
      <sz val="12"/>
      <name val="Times New Roman"/>
      <family val="1"/>
    </font>
    <font>
      <sz val="11"/>
      <name val="Times New Roman"/>
      <family val="1"/>
      <charset val="238"/>
    </font>
    <font>
      <b/>
      <i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9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0"/>
      <name val="Times New Roman"/>
      <family val="1"/>
      <charset val="238"/>
    </font>
    <font>
      <sz val="12"/>
      <color theme="0" tint="-4.9989318521683403E-2"/>
      <name val="Times New Roman"/>
      <family val="1"/>
      <charset val="238"/>
    </font>
    <font>
      <sz val="10"/>
      <color theme="0"/>
      <name val="Arial CE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Calibri"/>
    </font>
    <font>
      <b/>
      <sz val="10"/>
      <color indexed="8"/>
      <name val="Calibri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0"/>
      <name val="Arial"/>
      <family val="2"/>
      <charset val="238"/>
    </font>
    <font>
      <sz val="10"/>
      <name val="Arial"/>
      <charset val="238"/>
    </font>
    <font>
      <b/>
      <sz val="10"/>
      <color rgb="FF00000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4">
    <xf numFmtId="0" fontId="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43" fontId="11" fillId="0" borderId="0" applyFont="0" applyFill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30" fillId="10" borderId="36" applyNumberFormat="0" applyAlignment="0" applyProtection="0"/>
    <xf numFmtId="0" fontId="31" fillId="0" borderId="0" applyNumberFormat="0" applyFill="0" applyBorder="0" applyAlignment="0" applyProtection="0"/>
    <xf numFmtId="0" fontId="32" fillId="0" borderId="37" applyNumberFormat="0" applyFill="0" applyAlignment="0" applyProtection="0"/>
    <xf numFmtId="0" fontId="33" fillId="0" borderId="38" applyNumberFormat="0" applyFill="0" applyAlignment="0" applyProtection="0"/>
    <xf numFmtId="0" fontId="34" fillId="0" borderId="39" applyNumberFormat="0" applyFill="0" applyAlignment="0" applyProtection="0"/>
    <xf numFmtId="0" fontId="34" fillId="0" borderId="0" applyNumberFormat="0" applyFill="0" applyBorder="0" applyAlignment="0" applyProtection="0"/>
    <xf numFmtId="0" fontId="35" fillId="19" borderId="40" applyNumberFormat="0" applyAlignment="0" applyProtection="0"/>
    <xf numFmtId="0" fontId="36" fillId="0" borderId="0" applyNumberFormat="0" applyFill="0" applyBorder="0" applyAlignment="0" applyProtection="0"/>
    <xf numFmtId="0" fontId="37" fillId="0" borderId="41" applyNumberFormat="0" applyFill="0" applyAlignment="0" applyProtection="0"/>
    <xf numFmtId="0" fontId="11" fillId="20" borderId="42" applyNumberFormat="0" applyFont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4" borderId="0" applyNumberFormat="0" applyBorder="0" applyAlignment="0" applyProtection="0"/>
    <xf numFmtId="0" fontId="38" fillId="7" borderId="0" applyNumberFormat="0" applyBorder="0" applyAlignment="0" applyProtection="0"/>
    <xf numFmtId="0" fontId="39" fillId="25" borderId="43" applyNumberFormat="0" applyAlignment="0" applyProtection="0"/>
    <xf numFmtId="0" fontId="40" fillId="0" borderId="0" applyNumberFormat="0" applyFill="0" applyBorder="0" applyAlignment="0" applyProtection="0"/>
    <xf numFmtId="0" fontId="41" fillId="0" borderId="44" applyNumberFormat="0" applyFill="0" applyAlignment="0" applyProtection="0"/>
    <xf numFmtId="0" fontId="42" fillId="6" borderId="0" applyNumberFormat="0" applyBorder="0" applyAlignment="0" applyProtection="0"/>
    <xf numFmtId="0" fontId="43" fillId="26" borderId="0" applyNumberFormat="0" applyBorder="0" applyAlignment="0" applyProtection="0"/>
    <xf numFmtId="0" fontId="44" fillId="25" borderId="36" applyNumberFormat="0" applyAlignment="0" applyProtection="0"/>
    <xf numFmtId="43" fontId="45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20" fillId="0" borderId="0"/>
    <xf numFmtId="43" fontId="11" fillId="0" borderId="0" applyFont="0" applyFill="0" applyBorder="0" applyAlignment="0" applyProtection="0"/>
    <xf numFmtId="0" fontId="47" fillId="0" borderId="0"/>
    <xf numFmtId="0" fontId="11" fillId="0" borderId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20" fillId="0" borderId="0"/>
    <xf numFmtId="43" fontId="49" fillId="0" borderId="0" applyFont="0" applyFill="0" applyBorder="0" applyAlignment="0" applyProtection="0"/>
    <xf numFmtId="0" fontId="11" fillId="0" borderId="0"/>
    <xf numFmtId="0" fontId="7" fillId="0" borderId="0"/>
    <xf numFmtId="0" fontId="4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6" fillId="0" borderId="0"/>
    <xf numFmtId="9" fontId="20" fillId="0" borderId="0" applyFont="0" applyFill="0" applyBorder="0" applyAlignment="0" applyProtection="0"/>
    <xf numFmtId="0" fontId="5" fillId="0" borderId="0"/>
    <xf numFmtId="166" fontId="58" fillId="0" borderId="0" applyBorder="0" applyProtection="0"/>
    <xf numFmtId="0" fontId="61" fillId="0" borderId="0"/>
    <xf numFmtId="167" fontId="58" fillId="0" borderId="0" applyBorder="0" applyProtection="0"/>
    <xf numFmtId="9" fontId="61" fillId="0" borderId="0" applyFont="0" applyFill="0" applyBorder="0" applyAlignment="0" applyProtection="0"/>
    <xf numFmtId="0" fontId="4" fillId="0" borderId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  <xf numFmtId="0" fontId="2" fillId="0" borderId="0"/>
    <xf numFmtId="170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1" fillId="0" borderId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9" fontId="99" fillId="0" borderId="0" applyFont="0" applyFill="0" applyBorder="0" applyAlignment="0" applyProtection="0"/>
  </cellStyleXfs>
  <cellXfs count="943">
    <xf numFmtId="0" fontId="0" fillId="0" borderId="0" xfId="0"/>
    <xf numFmtId="0" fontId="0" fillId="0" borderId="0" xfId="0" applyFill="1"/>
    <xf numFmtId="0" fontId="10" fillId="0" borderId="0" xfId="0" applyFont="1" applyFill="1"/>
    <xf numFmtId="0" fontId="10" fillId="0" borderId="0" xfId="0" applyFont="1"/>
    <xf numFmtId="3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11" fillId="0" borderId="2" xfId="0" applyFont="1" applyBorder="1"/>
    <xf numFmtId="0" fontId="11" fillId="0" borderId="0" xfId="0" applyFont="1"/>
    <xf numFmtId="3" fontId="11" fillId="0" borderId="2" xfId="0" applyNumberFormat="1" applyFont="1" applyBorder="1"/>
    <xf numFmtId="0" fontId="11" fillId="0" borderId="3" xfId="0" applyFont="1" applyBorder="1"/>
    <xf numFmtId="3" fontId="10" fillId="0" borderId="1" xfId="0" applyNumberFormat="1" applyFont="1" applyBorder="1"/>
    <xf numFmtId="3" fontId="10" fillId="0" borderId="1" xfId="0" applyNumberFormat="1" applyFont="1" applyFill="1" applyBorder="1"/>
    <xf numFmtId="0" fontId="11" fillId="0" borderId="4" xfId="0" applyFont="1" applyBorder="1"/>
    <xf numFmtId="0" fontId="11" fillId="0" borderId="5" xfId="0" applyFont="1" applyBorder="1"/>
    <xf numFmtId="3" fontId="11" fillId="0" borderId="5" xfId="0" applyNumberFormat="1" applyFont="1" applyBorder="1"/>
    <xf numFmtId="0" fontId="11" fillId="0" borderId="2" xfId="0" applyFont="1" applyFill="1" applyBorder="1"/>
    <xf numFmtId="0" fontId="10" fillId="0" borderId="3" xfId="0" applyFont="1" applyBorder="1"/>
    <xf numFmtId="0" fontId="11" fillId="0" borderId="6" xfId="0" applyFont="1" applyBorder="1"/>
    <xf numFmtId="3" fontId="10" fillId="0" borderId="6" xfId="0" applyNumberFormat="1" applyFont="1" applyBorder="1"/>
    <xf numFmtId="0" fontId="0" fillId="0" borderId="0" xfId="0" applyBorder="1"/>
    <xf numFmtId="3" fontId="0" fillId="0" borderId="0" xfId="0" applyNumberFormat="1" applyBorder="1"/>
    <xf numFmtId="0" fontId="10" fillId="0" borderId="0" xfId="0" applyFont="1" applyFill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9" xfId="0" applyNumberFormat="1" applyFont="1" applyBorder="1" applyAlignment="1"/>
    <xf numFmtId="0" fontId="13" fillId="0" borderId="0" xfId="0" applyFont="1" applyBorder="1"/>
    <xf numFmtId="0" fontId="14" fillId="0" borderId="14" xfId="0" applyFont="1" applyBorder="1"/>
    <xf numFmtId="0" fontId="14" fillId="0" borderId="0" xfId="0" applyFont="1"/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Fill="1" applyBorder="1"/>
    <xf numFmtId="3" fontId="14" fillId="0" borderId="0" xfId="0" applyNumberFormat="1" applyFont="1" applyFill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0" xfId="0" applyFont="1" applyBorder="1"/>
    <xf numFmtId="0" fontId="12" fillId="0" borderId="13" xfId="0" applyFont="1" applyBorder="1"/>
    <xf numFmtId="0" fontId="12" fillId="0" borderId="21" xfId="0" applyFont="1" applyBorder="1"/>
    <xf numFmtId="0" fontId="12" fillId="0" borderId="2" xfId="0" applyFont="1" applyBorder="1"/>
    <xf numFmtId="0" fontId="14" fillId="0" borderId="10" xfId="0" applyFont="1" applyBorder="1"/>
    <xf numFmtId="0" fontId="14" fillId="0" borderId="16" xfId="0" applyFont="1" applyBorder="1"/>
    <xf numFmtId="0" fontId="11" fillId="0" borderId="0" xfId="1"/>
    <xf numFmtId="0" fontId="13" fillId="0" borderId="0" xfId="0" applyFont="1" applyBorder="1" applyAlignment="1">
      <alignment horizontal="left"/>
    </xf>
    <xf numFmtId="3" fontId="13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11" fillId="0" borderId="0" xfId="0" applyFont="1" applyFill="1"/>
    <xf numFmtId="0" fontId="10" fillId="0" borderId="0" xfId="0" applyFont="1" applyAlignment="1">
      <alignment horizontal="center"/>
    </xf>
    <xf numFmtId="3" fontId="11" fillId="0" borderId="4" xfId="0" applyNumberFormat="1" applyFont="1" applyFill="1" applyBorder="1"/>
    <xf numFmtId="3" fontId="11" fillId="0" borderId="4" xfId="0" applyNumberFormat="1" applyFont="1" applyBorder="1"/>
    <xf numFmtId="3" fontId="11" fillId="0" borderId="3" xfId="0" applyNumberFormat="1" applyFont="1" applyBorder="1"/>
    <xf numFmtId="3" fontId="10" fillId="0" borderId="0" xfId="0" applyNumberFormat="1" applyFont="1"/>
    <xf numFmtId="0" fontId="11" fillId="0" borderId="0" xfId="0" applyFont="1" applyBorder="1"/>
    <xf numFmtId="0" fontId="10" fillId="0" borderId="1" xfId="0" applyFont="1" applyFill="1" applyBorder="1"/>
    <xf numFmtId="3" fontId="11" fillId="0" borderId="7" xfId="0" applyNumberFormat="1" applyFont="1" applyBorder="1"/>
    <xf numFmtId="3" fontId="11" fillId="0" borderId="6" xfId="0" applyNumberFormat="1" applyFont="1" applyBorder="1"/>
    <xf numFmtId="0" fontId="10" fillId="0" borderId="8" xfId="0" applyFont="1" applyBorder="1"/>
    <xf numFmtId="3" fontId="10" fillId="0" borderId="8" xfId="0" applyNumberFormat="1" applyFont="1" applyBorder="1"/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/>
    </xf>
    <xf numFmtId="3" fontId="11" fillId="0" borderId="3" xfId="0" applyNumberFormat="1" applyFont="1" applyFill="1" applyBorder="1"/>
    <xf numFmtId="3" fontId="11" fillId="0" borderId="2" xfId="0" applyNumberFormat="1" applyFont="1" applyFill="1" applyBorder="1"/>
    <xf numFmtId="3" fontId="11" fillId="0" borderId="5" xfId="0" applyNumberFormat="1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/>
    <xf numFmtId="0" fontId="11" fillId="0" borderId="6" xfId="0" applyFont="1" applyFill="1" applyBorder="1"/>
    <xf numFmtId="3" fontId="11" fillId="0" borderId="2" xfId="0" applyNumberFormat="1" applyFont="1" applyBorder="1" applyAlignment="1">
      <alignment horizontal="left"/>
    </xf>
    <xf numFmtId="3" fontId="10" fillId="0" borderId="0" xfId="3" applyNumberFormat="1" applyFont="1" applyBorder="1"/>
    <xf numFmtId="0" fontId="12" fillId="0" borderId="0" xfId="3" applyFont="1" applyBorder="1" applyAlignment="1"/>
    <xf numFmtId="0" fontId="22" fillId="0" borderId="0" xfId="4" applyFont="1" applyBorder="1" applyAlignment="1"/>
    <xf numFmtId="3" fontId="22" fillId="0" borderId="0" xfId="4" applyNumberFormat="1" applyFont="1" applyBorder="1" applyAlignment="1"/>
    <xf numFmtId="3" fontId="12" fillId="0" borderId="0" xfId="3" applyNumberFormat="1" applyFont="1" applyBorder="1"/>
    <xf numFmtId="0" fontId="12" fillId="0" borderId="0" xfId="3" applyFont="1" applyBorder="1"/>
    <xf numFmtId="3" fontId="10" fillId="0" borderId="0" xfId="3" applyNumberFormat="1" applyFont="1" applyBorder="1" applyAlignment="1">
      <alignment horizontal="center"/>
    </xf>
    <xf numFmtId="3" fontId="11" fillId="0" borderId="0" xfId="3" applyNumberFormat="1" applyFont="1" applyBorder="1" applyAlignment="1">
      <alignment horizontal="right"/>
    </xf>
    <xf numFmtId="3" fontId="10" fillId="0" borderId="0" xfId="3" applyNumberFormat="1" applyFont="1" applyBorder="1" applyAlignment="1">
      <alignment horizontal="right"/>
    </xf>
    <xf numFmtId="0" fontId="12" fillId="0" borderId="2" xfId="0" applyFont="1" applyBorder="1" applyAlignment="1">
      <alignment wrapText="1"/>
    </xf>
    <xf numFmtId="0" fontId="10" fillId="0" borderId="0" xfId="1" applyFont="1"/>
    <xf numFmtId="0" fontId="10" fillId="0" borderId="1" xfId="0" applyFont="1" applyFill="1" applyBorder="1" applyAlignment="1">
      <alignment wrapText="1"/>
    </xf>
    <xf numFmtId="3" fontId="0" fillId="0" borderId="1" xfId="0" applyNumberFormat="1" applyBorder="1"/>
    <xf numFmtId="0" fontId="11" fillId="0" borderId="2" xfId="0" applyFont="1" applyBorder="1" applyAlignment="1">
      <alignment wrapText="1"/>
    </xf>
    <xf numFmtId="3" fontId="11" fillId="0" borderId="22" xfId="0" applyNumberFormat="1" applyFont="1" applyBorder="1" applyAlignment="1">
      <alignment horizontal="right"/>
    </xf>
    <xf numFmtId="3" fontId="11" fillId="0" borderId="33" xfId="0" applyNumberFormat="1" applyFont="1" applyBorder="1" applyAlignment="1">
      <alignment horizontal="right"/>
    </xf>
    <xf numFmtId="3" fontId="10" fillId="0" borderId="27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30" xfId="0" applyNumberFormat="1" applyFont="1" applyBorder="1"/>
    <xf numFmtId="3" fontId="10" fillId="0" borderId="35" xfId="0" applyNumberFormat="1" applyFont="1" applyBorder="1" applyAlignment="1">
      <alignment horizontal="right"/>
    </xf>
    <xf numFmtId="0" fontId="10" fillId="0" borderId="4" xfId="0" applyFont="1" applyBorder="1"/>
    <xf numFmtId="0" fontId="0" fillId="0" borderId="0" xfId="0" applyAlignment="1">
      <alignment horizontal="center"/>
    </xf>
    <xf numFmtId="0" fontId="10" fillId="0" borderId="0" xfId="3" applyFont="1" applyBorder="1" applyAlignment="1"/>
    <xf numFmtId="3" fontId="10" fillId="0" borderId="0" xfId="0" applyNumberFormat="1" applyFont="1" applyBorder="1"/>
    <xf numFmtId="3" fontId="10" fillId="0" borderId="0" xfId="0" applyNumberFormat="1" applyFont="1" applyFill="1" applyBorder="1"/>
    <xf numFmtId="0" fontId="10" fillId="4" borderId="10" xfId="0" applyFont="1" applyFill="1" applyBorder="1"/>
    <xf numFmtId="3" fontId="10" fillId="4" borderId="11" xfId="0" applyNumberFormat="1" applyFont="1" applyFill="1" applyBorder="1"/>
    <xf numFmtId="3" fontId="10" fillId="4" borderId="12" xfId="0" applyNumberFormat="1" applyFont="1" applyFill="1" applyBorder="1"/>
    <xf numFmtId="0" fontId="11" fillId="4" borderId="14" xfId="0" applyFont="1" applyFill="1" applyBorder="1"/>
    <xf numFmtId="3" fontId="11" fillId="4" borderId="0" xfId="0" applyNumberFormat="1" applyFont="1" applyFill="1" applyBorder="1"/>
    <xf numFmtId="3" fontId="11" fillId="4" borderId="15" xfId="0" applyNumberFormat="1" applyFont="1" applyFill="1" applyBorder="1"/>
    <xf numFmtId="0" fontId="10" fillId="4" borderId="14" xfId="0" applyFont="1" applyFill="1" applyBorder="1"/>
    <xf numFmtId="3" fontId="10" fillId="4" borderId="0" xfId="0" applyNumberFormat="1" applyFont="1" applyFill="1" applyBorder="1"/>
    <xf numFmtId="3" fontId="10" fillId="4" borderId="15" xfId="0" applyNumberFormat="1" applyFont="1" applyFill="1" applyBorder="1"/>
    <xf numFmtId="3" fontId="11" fillId="4" borderId="14" xfId="0" applyNumberFormat="1" applyFont="1" applyFill="1" applyBorder="1"/>
    <xf numFmtId="0" fontId="11" fillId="4" borderId="16" xfId="0" applyFont="1" applyFill="1" applyBorder="1"/>
    <xf numFmtId="3" fontId="11" fillId="4" borderId="9" xfId="0" applyNumberFormat="1" applyFont="1" applyFill="1" applyBorder="1"/>
    <xf numFmtId="3" fontId="11" fillId="4" borderId="17" xfId="0" applyNumberFormat="1" applyFont="1" applyFill="1" applyBorder="1"/>
    <xf numFmtId="0" fontId="0" fillId="0" borderId="0" xfId="0" applyBorder="1" applyAlignment="1">
      <alignment wrapText="1"/>
    </xf>
    <xf numFmtId="0" fontId="11" fillId="0" borderId="5" xfId="0" applyFont="1" applyBorder="1" applyAlignment="1">
      <alignment wrapText="1"/>
    </xf>
    <xf numFmtId="3" fontId="11" fillId="0" borderId="26" xfId="0" applyNumberFormat="1" applyFont="1" applyBorder="1" applyAlignment="1">
      <alignment horizontal="left"/>
    </xf>
    <xf numFmtId="3" fontId="11" fillId="0" borderId="28" xfId="0" applyNumberFormat="1" applyFont="1" applyBorder="1" applyAlignment="1">
      <alignment horizontal="left"/>
    </xf>
    <xf numFmtId="165" fontId="0" fillId="0" borderId="0" xfId="47" applyNumberFormat="1" applyFont="1"/>
    <xf numFmtId="165" fontId="0" fillId="0" borderId="0" xfId="0" applyNumberFormat="1"/>
    <xf numFmtId="0" fontId="13" fillId="27" borderId="10" xfId="0" applyFont="1" applyFill="1" applyBorder="1"/>
    <xf numFmtId="0" fontId="13" fillId="27" borderId="11" xfId="0" applyFont="1" applyFill="1" applyBorder="1"/>
    <xf numFmtId="0" fontId="13" fillId="27" borderId="14" xfId="0" applyFont="1" applyFill="1" applyBorder="1"/>
    <xf numFmtId="0" fontId="13" fillId="27" borderId="0" xfId="0" applyFont="1" applyFill="1" applyBorder="1"/>
    <xf numFmtId="0" fontId="13" fillId="27" borderId="0" xfId="0" applyFont="1" applyFill="1" applyBorder="1" applyAlignment="1">
      <alignment horizontal="left"/>
    </xf>
    <xf numFmtId="0" fontId="13" fillId="27" borderId="9" xfId="0" applyFont="1" applyFill="1" applyBorder="1"/>
    <xf numFmtId="0" fontId="13" fillId="27" borderId="9" xfId="0" applyFont="1" applyFill="1" applyBorder="1" applyAlignment="1">
      <alignment horizontal="left"/>
    </xf>
    <xf numFmtId="0" fontId="16" fillId="27" borderId="14" xfId="0" applyFont="1" applyFill="1" applyBorder="1"/>
    <xf numFmtId="0" fontId="16" fillId="27" borderId="0" xfId="0" applyFont="1" applyFill="1" applyBorder="1"/>
    <xf numFmtId="0" fontId="16" fillId="27" borderId="0" xfId="0" applyFont="1" applyFill="1" applyBorder="1" applyAlignment="1">
      <alignment horizontal="left"/>
    </xf>
    <xf numFmtId="0" fontId="16" fillId="27" borderId="16" xfId="0" applyFont="1" applyFill="1" applyBorder="1"/>
    <xf numFmtId="0" fontId="16" fillId="27" borderId="9" xfId="0" applyFont="1" applyFill="1" applyBorder="1"/>
    <xf numFmtId="0" fontId="16" fillId="27" borderId="9" xfId="0" applyFont="1" applyFill="1" applyBorder="1" applyAlignment="1">
      <alignment horizontal="left"/>
    </xf>
    <xf numFmtId="0" fontId="10" fillId="27" borderId="10" xfId="0" applyFont="1" applyFill="1" applyBorder="1"/>
    <xf numFmtId="0" fontId="10" fillId="27" borderId="11" xfId="0" applyFont="1" applyFill="1" applyBorder="1"/>
    <xf numFmtId="3" fontId="10" fillId="27" borderId="10" xfId="0" applyNumberFormat="1" applyFont="1" applyFill="1" applyBorder="1" applyAlignment="1">
      <alignment horizontal="right"/>
    </xf>
    <xf numFmtId="0" fontId="10" fillId="27" borderId="14" xfId="0" applyFont="1" applyFill="1" applyBorder="1"/>
    <xf numFmtId="0" fontId="10" fillId="27" borderId="0" xfId="0" applyFont="1" applyFill="1" applyBorder="1"/>
    <xf numFmtId="0" fontId="10" fillId="27" borderId="16" xfId="0" applyFont="1" applyFill="1" applyBorder="1"/>
    <xf numFmtId="0" fontId="10" fillId="27" borderId="9" xfId="0" applyFont="1" applyFill="1" applyBorder="1"/>
    <xf numFmtId="0" fontId="24" fillId="27" borderId="16" xfId="0" applyFont="1" applyFill="1" applyBorder="1"/>
    <xf numFmtId="0" fontId="11" fillId="0" borderId="0" xfId="48"/>
    <xf numFmtId="0" fontId="10" fillId="0" borderId="0" xfId="48" applyFont="1"/>
    <xf numFmtId="0" fontId="11" fillId="0" borderId="0" xfId="48" applyFont="1"/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1" fillId="0" borderId="8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13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12" xfId="0" applyNumberFormat="1" applyFont="1" applyFill="1" applyBorder="1" applyAlignment="1">
      <alignment horizontal="right"/>
    </xf>
    <xf numFmtId="3" fontId="10" fillId="27" borderId="13" xfId="0" applyNumberFormat="1" applyFont="1" applyFill="1" applyBorder="1"/>
    <xf numFmtId="3" fontId="17" fillId="0" borderId="13" xfId="0" applyNumberFormat="1" applyFont="1" applyFill="1" applyBorder="1"/>
    <xf numFmtId="3" fontId="17" fillId="0" borderId="7" xfId="0" applyNumberFormat="1" applyFont="1" applyFill="1" applyBorder="1"/>
    <xf numFmtId="3" fontId="17" fillId="0" borderId="12" xfId="0" applyNumberFormat="1" applyFont="1" applyFill="1" applyBorder="1"/>
    <xf numFmtId="3" fontId="17" fillId="0" borderId="17" xfId="0" applyNumberFormat="1" applyFont="1" applyFill="1" applyBorder="1"/>
    <xf numFmtId="3" fontId="10" fillId="0" borderId="17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7" xfId="0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/>
    </xf>
    <xf numFmtId="3" fontId="11" fillId="0" borderId="16" xfId="0" applyNumberFormat="1" applyFont="1" applyBorder="1" applyAlignment="1">
      <alignment horizontal="right"/>
    </xf>
    <xf numFmtId="3" fontId="12" fillId="27" borderId="1" xfId="0" applyNumberFormat="1" applyFont="1" applyFill="1" applyBorder="1"/>
    <xf numFmtId="3" fontId="11" fillId="0" borderId="12" xfId="0" applyNumberFormat="1" applyFont="1" applyBorder="1" applyAlignment="1">
      <alignment horizontal="right" vertical="center" wrapText="1"/>
    </xf>
    <xf numFmtId="3" fontId="11" fillId="0" borderId="13" xfId="0" applyNumberFormat="1" applyFont="1" applyBorder="1" applyAlignment="1">
      <alignment horizontal="right" vertical="center" wrapText="1"/>
    </xf>
    <xf numFmtId="3" fontId="11" fillId="0" borderId="13" xfId="0" applyNumberFormat="1" applyFont="1" applyFill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27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Fill="1"/>
    <xf numFmtId="3" fontId="14" fillId="0" borderId="0" xfId="0" applyNumberFormat="1" applyFont="1"/>
    <xf numFmtId="0" fontId="11" fillId="0" borderId="0" xfId="0" applyFont="1" applyAlignment="1">
      <alignment horizontal="left"/>
    </xf>
    <xf numFmtId="0" fontId="11" fillId="27" borderId="0" xfId="0" applyFont="1" applyFill="1" applyBorder="1"/>
    <xf numFmtId="0" fontId="11" fillId="0" borderId="0" xfId="1" applyFont="1"/>
    <xf numFmtId="0" fontId="11" fillId="0" borderId="0" xfId="1" applyFont="1" applyBorder="1"/>
    <xf numFmtId="0" fontId="20" fillId="0" borderId="0" xfId="4" applyFont="1" applyAlignment="1">
      <alignment horizontal="center" vertical="center"/>
    </xf>
    <xf numFmtId="165" fontId="11" fillId="0" borderId="7" xfId="47" applyNumberFormat="1" applyFont="1" applyFill="1" applyBorder="1" applyAlignment="1">
      <alignment horizontal="right" vertical="center" wrapText="1"/>
    </xf>
    <xf numFmtId="165" fontId="11" fillId="0" borderId="0" xfId="0" applyNumberFormat="1" applyFont="1"/>
    <xf numFmtId="3" fontId="11" fillId="0" borderId="17" xfId="0" applyNumberFormat="1" applyFont="1" applyFill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25" fillId="0" borderId="0" xfId="63" applyFont="1"/>
    <xf numFmtId="0" fontId="25" fillId="0" borderId="0" xfId="63" applyFont="1" applyBorder="1"/>
    <xf numFmtId="0" fontId="25" fillId="0" borderId="0" xfId="63" applyFont="1" applyBorder="1" applyAlignment="1"/>
    <xf numFmtId="0" fontId="10" fillId="0" borderId="0" xfId="0" applyFont="1" applyBorder="1" applyAlignment="1">
      <alignment horizontal="center"/>
    </xf>
    <xf numFmtId="0" fontId="11" fillId="0" borderId="24" xfId="0" applyFont="1" applyFill="1" applyBorder="1"/>
    <xf numFmtId="0" fontId="11" fillId="0" borderId="0" xfId="48" applyFont="1" applyFill="1"/>
    <xf numFmtId="0" fontId="52" fillId="0" borderId="22" xfId="0" applyFont="1" applyFill="1" applyBorder="1" applyAlignment="1">
      <alignment horizontal="center" vertical="center" wrapText="1"/>
    </xf>
    <xf numFmtId="0" fontId="11" fillId="0" borderId="0" xfId="48" applyFill="1"/>
    <xf numFmtId="0" fontId="26" fillId="0" borderId="17" xfId="0" applyFont="1" applyFill="1" applyBorder="1" applyAlignment="1"/>
    <xf numFmtId="0" fontId="10" fillId="0" borderId="0" xfId="80" applyFont="1"/>
    <xf numFmtId="0" fontId="10" fillId="0" borderId="0" xfId="80" applyFont="1" applyFill="1"/>
    <xf numFmtId="0" fontId="11" fillId="0" borderId="0" xfId="80" applyFont="1"/>
    <xf numFmtId="0" fontId="10" fillId="0" borderId="0" xfId="80" applyFont="1" applyAlignment="1">
      <alignment horizontal="right"/>
    </xf>
    <xf numFmtId="0" fontId="11" fillId="0" borderId="0" xfId="80"/>
    <xf numFmtId="0" fontId="11" fillId="0" borderId="0" xfId="80" applyFont="1" applyFill="1"/>
    <xf numFmtId="0" fontId="11" fillId="0" borderId="0" xfId="80" applyFill="1"/>
    <xf numFmtId="164" fontId="12" fillId="0" borderId="2" xfId="0" applyNumberFormat="1" applyFont="1" applyBorder="1"/>
    <xf numFmtId="165" fontId="11" fillId="0" borderId="0" xfId="0" applyNumberFormat="1" applyFont="1" applyFill="1"/>
    <xf numFmtId="3" fontId="10" fillId="0" borderId="31" xfId="0" applyNumberFormat="1" applyFont="1" applyBorder="1" applyAlignment="1">
      <alignment horizontal="right"/>
    </xf>
    <xf numFmtId="164" fontId="11" fillId="0" borderId="0" xfId="0" applyNumberFormat="1" applyFont="1"/>
    <xf numFmtId="0" fontId="11" fillId="0" borderId="3" xfId="0" applyFont="1" applyBorder="1" applyAlignment="1">
      <alignment wrapText="1"/>
    </xf>
    <xf numFmtId="0" fontId="11" fillId="0" borderId="0" xfId="48" applyFont="1" applyFill="1" applyBorder="1"/>
    <xf numFmtId="0" fontId="11" fillId="0" borderId="0" xfId="48" applyBorder="1"/>
    <xf numFmtId="0" fontId="54" fillId="0" borderId="0" xfId="0" applyFont="1"/>
    <xf numFmtId="3" fontId="54" fillId="0" borderId="0" xfId="0" applyNumberFormat="1" applyFont="1"/>
    <xf numFmtId="0" fontId="54" fillId="0" borderId="0" xfId="0" applyFont="1" applyFill="1"/>
    <xf numFmtId="3" fontId="54" fillId="0" borderId="0" xfId="0" applyNumberFormat="1" applyFont="1" applyFill="1"/>
    <xf numFmtId="3" fontId="55" fillId="0" borderId="0" xfId="3" applyNumberFormat="1" applyFont="1" applyBorder="1"/>
    <xf numFmtId="3" fontId="56" fillId="0" borderId="0" xfId="3" applyNumberFormat="1" applyFont="1" applyBorder="1" applyAlignment="1">
      <alignment horizontal="right"/>
    </xf>
    <xf numFmtId="3" fontId="55" fillId="0" borderId="0" xfId="3" applyNumberFormat="1" applyFont="1" applyBorder="1" applyAlignment="1">
      <alignment horizontal="right"/>
    </xf>
    <xf numFmtId="0" fontId="10" fillId="0" borderId="0" xfId="80" applyFont="1" applyAlignment="1">
      <alignment horizontal="center" vertical="center"/>
    </xf>
    <xf numFmtId="0" fontId="11" fillId="28" borderId="21" xfId="80" applyFont="1" applyFill="1" applyBorder="1"/>
    <xf numFmtId="0" fontId="11" fillId="0" borderId="14" xfId="80" applyFont="1" applyBorder="1"/>
    <xf numFmtId="0" fontId="11" fillId="28" borderId="45" xfId="80" applyFont="1" applyFill="1" applyBorder="1"/>
    <xf numFmtId="0" fontId="11" fillId="28" borderId="46" xfId="80" applyFont="1" applyFill="1" applyBorder="1"/>
    <xf numFmtId="0" fontId="10" fillId="0" borderId="0" xfId="80" applyFont="1" applyFill="1" applyAlignment="1">
      <alignment horizontal="right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6" fontId="58" fillId="0" borderId="0" xfId="85" applyFont="1" applyFill="1" applyAlignment="1"/>
    <xf numFmtId="0" fontId="61" fillId="0" borderId="0" xfId="86"/>
    <xf numFmtId="166" fontId="59" fillId="0" borderId="0" xfId="85" applyFont="1" applyFill="1" applyAlignment="1">
      <alignment horizontal="justify"/>
    </xf>
    <xf numFmtId="166" fontId="62" fillId="0" borderId="0" xfId="85" applyFont="1" applyFill="1" applyAlignment="1"/>
    <xf numFmtId="166" fontId="59" fillId="0" borderId="47" xfId="85" applyFont="1" applyFill="1" applyBorder="1" applyAlignment="1">
      <alignment horizontal="center"/>
    </xf>
    <xf numFmtId="166" fontId="59" fillId="0" borderId="0" xfId="85" applyFont="1" applyFill="1" applyBorder="1" applyAlignment="1">
      <alignment horizontal="center"/>
    </xf>
    <xf numFmtId="166" fontId="59" fillId="0" borderId="0" xfId="85" applyFont="1" applyFill="1" applyAlignment="1">
      <alignment horizontal="center"/>
    </xf>
    <xf numFmtId="166" fontId="59" fillId="29" borderId="54" xfId="85" applyFont="1" applyFill="1" applyBorder="1" applyAlignment="1">
      <alignment vertical="top" wrapText="1"/>
    </xf>
    <xf numFmtId="166" fontId="59" fillId="29" borderId="54" xfId="85" applyFont="1" applyFill="1" applyBorder="1" applyAlignment="1">
      <alignment horizontal="left" vertical="top" wrapText="1"/>
    </xf>
    <xf numFmtId="3" fontId="10" fillId="27" borderId="1" xfId="0" applyNumberFormat="1" applyFont="1" applyFill="1" applyBorder="1"/>
    <xf numFmtId="3" fontId="10" fillId="0" borderId="0" xfId="0" applyNumberFormat="1" applyFont="1" applyFill="1"/>
    <xf numFmtId="164" fontId="12" fillId="0" borderId="13" xfId="0" applyNumberFormat="1" applyFont="1" applyBorder="1"/>
    <xf numFmtId="3" fontId="17" fillId="0" borderId="10" xfId="0" applyNumberFormat="1" applyFont="1" applyFill="1" applyBorder="1"/>
    <xf numFmtId="3" fontId="17" fillId="0" borderId="16" xfId="0" applyNumberFormat="1" applyFont="1" applyFill="1" applyBorder="1"/>
    <xf numFmtId="0" fontId="26" fillId="0" borderId="14" xfId="0" quotePrefix="1" applyFont="1" applyBorder="1" applyAlignment="1"/>
    <xf numFmtId="3" fontId="12" fillId="0" borderId="13" xfId="0" applyNumberFormat="1" applyFont="1" applyFill="1" applyBorder="1"/>
    <xf numFmtId="0" fontId="10" fillId="0" borderId="8" xfId="0" applyFont="1" applyBorder="1" applyAlignment="1">
      <alignment wrapText="1"/>
    </xf>
    <xf numFmtId="0" fontId="21" fillId="0" borderId="0" xfId="3" applyFont="1" applyAlignment="1">
      <alignment horizontal="center" vertical="center"/>
    </xf>
    <xf numFmtId="0" fontId="11" fillId="0" borderId="0" xfId="80" applyFont="1" applyBorder="1"/>
    <xf numFmtId="166" fontId="60" fillId="0" borderId="0" xfId="85" applyFont="1" applyFill="1" applyAlignment="1"/>
    <xf numFmtId="166" fontId="58" fillId="0" borderId="51" xfId="85" applyFont="1" applyFill="1" applyBorder="1" applyAlignment="1">
      <alignment wrapText="1"/>
    </xf>
    <xf numFmtId="9" fontId="58" fillId="0" borderId="0" xfId="88" applyFont="1" applyFill="1" applyAlignment="1"/>
    <xf numFmtId="166" fontId="60" fillId="0" borderId="0" xfId="85" applyFont="1" applyFill="1" applyAlignment="1">
      <alignment horizontal="center" wrapText="1"/>
    </xf>
    <xf numFmtId="166" fontId="58" fillId="0" borderId="56" xfId="85" applyFont="1" applyFill="1" applyBorder="1" applyAlignment="1">
      <alignment wrapText="1"/>
    </xf>
    <xf numFmtId="166" fontId="60" fillId="29" borderId="51" xfId="85" applyFont="1" applyFill="1" applyBorder="1" applyAlignment="1">
      <alignment wrapText="1"/>
    </xf>
    <xf numFmtId="166" fontId="60" fillId="29" borderId="51" xfId="85" applyFont="1" applyFill="1" applyBorder="1" applyAlignment="1"/>
    <xf numFmtId="166" fontId="58" fillId="0" borderId="0" xfId="85" applyFont="1" applyFill="1" applyAlignment="1">
      <alignment wrapText="1"/>
    </xf>
    <xf numFmtId="168" fontId="68" fillId="0" borderId="51" xfId="85" applyNumberFormat="1" applyFont="1" applyFill="1" applyBorder="1" applyAlignment="1"/>
    <xf numFmtId="166" fontId="58" fillId="0" borderId="51" xfId="85" applyFont="1" applyFill="1" applyBorder="1" applyAlignment="1">
      <alignment horizontal="left"/>
    </xf>
    <xf numFmtId="164" fontId="68" fillId="0" borderId="51" xfId="87" applyNumberFormat="1" applyFont="1" applyFill="1" applyBorder="1" applyAlignment="1"/>
    <xf numFmtId="164" fontId="68" fillId="0" borderId="55" xfId="87" applyNumberFormat="1" applyFont="1" applyFill="1" applyBorder="1" applyAlignment="1"/>
    <xf numFmtId="164" fontId="68" fillId="0" borderId="22" xfId="87" applyNumberFormat="1" applyFont="1" applyFill="1" applyBorder="1" applyAlignment="1"/>
    <xf numFmtId="164" fontId="68" fillId="0" borderId="57" xfId="87" applyNumberFormat="1" applyFont="1" applyFill="1" applyBorder="1" applyAlignment="1"/>
    <xf numFmtId="164" fontId="68" fillId="0" borderId="56" xfId="87" applyNumberFormat="1" applyFont="1" applyFill="1" applyBorder="1" applyAlignment="1"/>
    <xf numFmtId="164" fontId="69" fillId="29" borderId="51" xfId="85" applyNumberFormat="1" applyFont="1" applyFill="1" applyBorder="1" applyAlignment="1"/>
    <xf numFmtId="0" fontId="18" fillId="0" borderId="0" xfId="0" applyFont="1"/>
    <xf numFmtId="166" fontId="63" fillId="0" borderId="54" xfId="85" applyFont="1" applyFill="1" applyBorder="1" applyAlignment="1">
      <alignment vertical="top" wrapText="1"/>
    </xf>
    <xf numFmtId="166" fontId="63" fillId="0" borderId="54" xfId="85" applyFont="1" applyFill="1" applyBorder="1" applyAlignment="1">
      <alignment horizontal="left" vertical="top" wrapText="1"/>
    </xf>
    <xf numFmtId="0" fontId="21" fillId="0" borderId="0" xfId="3" applyFont="1" applyAlignment="1">
      <alignment vertical="center"/>
    </xf>
    <xf numFmtId="0" fontId="23" fillId="0" borderId="0" xfId="4" applyFont="1" applyAlignment="1">
      <alignment vertical="center"/>
    </xf>
    <xf numFmtId="0" fontId="11" fillId="0" borderId="0" xfId="48"/>
    <xf numFmtId="14" fontId="11" fillId="0" borderId="22" xfId="48" applyNumberFormat="1" applyBorder="1" applyAlignment="1">
      <alignment horizontal="right"/>
    </xf>
    <xf numFmtId="164" fontId="11" fillId="0" borderId="22" xfId="48" applyNumberFormat="1" applyBorder="1" applyAlignment="1">
      <alignment horizontal="right"/>
    </xf>
    <xf numFmtId="0" fontId="11" fillId="0" borderId="0" xfId="48" applyFont="1" applyFill="1" applyBorder="1"/>
    <xf numFmtId="0" fontId="11" fillId="0" borderId="0" xfId="48" applyBorder="1"/>
    <xf numFmtId="165" fontId="54" fillId="0" borderId="0" xfId="47" applyNumberFormat="1" applyFont="1"/>
    <xf numFmtId="165" fontId="54" fillId="0" borderId="0" xfId="0" applyNumberFormat="1" applyFont="1"/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3" fontId="18" fillId="0" borderId="0" xfId="2" applyNumberFormat="1" applyFont="1"/>
    <xf numFmtId="0" fontId="10" fillId="0" borderId="0" xfId="0" applyFont="1" applyBorder="1" applyAlignment="1"/>
    <xf numFmtId="3" fontId="12" fillId="0" borderId="0" xfId="3" applyNumberFormat="1" applyFont="1" applyFill="1" applyBorder="1"/>
    <xf numFmtId="166" fontId="60" fillId="2" borderId="61" xfId="85" applyFont="1" applyFill="1" applyBorder="1" applyAlignment="1">
      <alignment vertical="top" wrapText="1"/>
    </xf>
    <xf numFmtId="0" fontId="66" fillId="0" borderId="62" xfId="86" applyFont="1" applyBorder="1" applyAlignment="1">
      <alignment horizontal="left" wrapText="1"/>
    </xf>
    <xf numFmtId="166" fontId="63" fillId="0" borderId="62" xfId="85" applyFont="1" applyBorder="1" applyAlignment="1">
      <alignment vertical="top" wrapText="1"/>
    </xf>
    <xf numFmtId="166" fontId="59" fillId="29" borderId="52" xfId="85" applyFont="1" applyFill="1" applyBorder="1" applyAlignment="1">
      <alignment vertical="top" wrapText="1"/>
    </xf>
    <xf numFmtId="166" fontId="64" fillId="29" borderId="54" xfId="85" applyFont="1" applyFill="1" applyBorder="1" applyAlignment="1">
      <alignment horizontal="right" vertical="top" wrapText="1"/>
    </xf>
    <xf numFmtId="166" fontId="64" fillId="29" borderId="61" xfId="85" applyFont="1" applyFill="1" applyBorder="1" applyAlignment="1">
      <alignment horizontal="right" vertical="top" wrapText="1"/>
    </xf>
    <xf numFmtId="166" fontId="65" fillId="0" borderId="54" xfId="85" applyFont="1" applyFill="1" applyBorder="1" applyAlignment="1">
      <alignment horizontal="right" vertical="top" wrapText="1"/>
    </xf>
    <xf numFmtId="166" fontId="65" fillId="0" borderId="61" xfId="85" applyFont="1" applyFill="1" applyBorder="1" applyAlignment="1">
      <alignment horizontal="right" vertical="top" wrapText="1"/>
    </xf>
    <xf numFmtId="166" fontId="65" fillId="0" borderId="50" xfId="85" applyFont="1" applyFill="1" applyBorder="1" applyAlignment="1">
      <alignment horizontal="right" vertical="top" wrapText="1"/>
    </xf>
    <xf numFmtId="166" fontId="64" fillId="29" borderId="62" xfId="85" applyFont="1" applyFill="1" applyBorder="1" applyAlignment="1">
      <alignment horizontal="right" vertical="top" wrapText="1"/>
    </xf>
    <xf numFmtId="166" fontId="65" fillId="3" borderId="62" xfId="85" applyFont="1" applyFill="1" applyBorder="1" applyAlignment="1">
      <alignment horizontal="right" vertical="top" wrapText="1"/>
    </xf>
    <xf numFmtId="166" fontId="64" fillId="29" borderId="63" xfId="85" applyFont="1" applyFill="1" applyBorder="1" applyAlignment="1">
      <alignment horizontal="right" vertical="top" wrapText="1"/>
    </xf>
    <xf numFmtId="166" fontId="64" fillId="29" borderId="64" xfId="85" applyFont="1" applyFill="1" applyBorder="1" applyAlignment="1">
      <alignment horizontal="right" vertical="top" wrapText="1"/>
    </xf>
    <xf numFmtId="166" fontId="64" fillId="29" borderId="52" xfId="85" applyFont="1" applyFill="1" applyBorder="1" applyAlignment="1">
      <alignment horizontal="right" vertical="top" wrapText="1"/>
    </xf>
    <xf numFmtId="166" fontId="64" fillId="29" borderId="53" xfId="85" applyFont="1" applyFill="1" applyBorder="1" applyAlignment="1">
      <alignment horizontal="right" vertical="top" wrapText="1"/>
    </xf>
    <xf numFmtId="166" fontId="63" fillId="0" borderId="49" xfId="85" applyFont="1" applyFill="1" applyBorder="1" applyAlignment="1">
      <alignment horizontal="center" vertical="center" wrapText="1"/>
    </xf>
    <xf numFmtId="166" fontId="63" fillId="0" borderId="48" xfId="85" applyFont="1" applyFill="1" applyBorder="1" applyAlignment="1">
      <alignment horizontal="center" vertical="center" wrapText="1"/>
    </xf>
    <xf numFmtId="166" fontId="63" fillId="0" borderId="54" xfId="85" applyFont="1" applyFill="1" applyBorder="1" applyAlignment="1">
      <alignment horizontal="center" vertical="center" wrapText="1"/>
    </xf>
    <xf numFmtId="166" fontId="63" fillId="0" borderId="61" xfId="85" applyFont="1" applyFill="1" applyBorder="1" applyAlignment="1">
      <alignment horizontal="center" vertical="center" wrapText="1"/>
    </xf>
    <xf numFmtId="166" fontId="63" fillId="0" borderId="53" xfId="85" applyFont="1" applyFill="1" applyBorder="1" applyAlignment="1">
      <alignment horizontal="center" vertical="center" wrapText="1"/>
    </xf>
    <xf numFmtId="166" fontId="63" fillId="0" borderId="50" xfId="85" applyFont="1" applyFill="1" applyBorder="1" applyAlignment="1">
      <alignment horizontal="center" vertical="center" wrapText="1"/>
    </xf>
    <xf numFmtId="166" fontId="58" fillId="0" borderId="52" xfId="85" applyFont="1" applyFill="1" applyBorder="1" applyAlignment="1">
      <alignment vertical="center" wrapText="1"/>
    </xf>
    <xf numFmtId="3" fontId="10" fillId="27" borderId="13" xfId="0" applyNumberFormat="1" applyFont="1" applyFill="1" applyBorder="1" applyAlignment="1">
      <alignment horizontal="right"/>
    </xf>
    <xf numFmtId="3" fontId="10" fillId="27" borderId="8" xfId="0" applyNumberFormat="1" applyFont="1" applyFill="1" applyBorder="1" applyAlignment="1">
      <alignment horizontal="right"/>
    </xf>
    <xf numFmtId="3" fontId="10" fillId="27" borderId="7" xfId="0" applyNumberFormat="1" applyFont="1" applyFill="1" applyBorder="1" applyAlignment="1">
      <alignment horizontal="right"/>
    </xf>
    <xf numFmtId="165" fontId="11" fillId="0" borderId="7" xfId="47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/>
    </xf>
    <xf numFmtId="3" fontId="17" fillId="27" borderId="8" xfId="0" applyNumberFormat="1" applyFont="1" applyFill="1" applyBorder="1"/>
    <xf numFmtId="3" fontId="17" fillId="27" borderId="7" xfId="0" applyNumberFormat="1" applyFont="1" applyFill="1" applyBorder="1"/>
    <xf numFmtId="0" fontId="11" fillId="0" borderId="13" xfId="0" applyFont="1" applyBorder="1"/>
    <xf numFmtId="0" fontId="12" fillId="27" borderId="13" xfId="0" applyFont="1" applyFill="1" applyBorder="1" applyAlignment="1"/>
    <xf numFmtId="3" fontId="12" fillId="27" borderId="13" xfId="0" applyNumberFormat="1" applyFont="1" applyFill="1" applyBorder="1"/>
    <xf numFmtId="3" fontId="10" fillId="27" borderId="7" xfId="0" applyNumberFormat="1" applyFont="1" applyFill="1" applyBorder="1"/>
    <xf numFmtId="0" fontId="17" fillId="27" borderId="10" xfId="0" applyFont="1" applyFill="1" applyBorder="1" applyAlignment="1"/>
    <xf numFmtId="165" fontId="19" fillId="0" borderId="13" xfId="47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right" vertical="center" wrapText="1"/>
    </xf>
    <xf numFmtId="3" fontId="10" fillId="27" borderId="18" xfId="0" applyNumberFormat="1" applyFont="1" applyFill="1" applyBorder="1" applyAlignment="1">
      <alignment horizontal="right"/>
    </xf>
    <xf numFmtId="3" fontId="10" fillId="27" borderId="1" xfId="0" applyNumberFormat="1" applyFont="1" applyFill="1" applyBorder="1" applyAlignment="1">
      <alignment horizontal="right"/>
    </xf>
    <xf numFmtId="0" fontId="10" fillId="0" borderId="1" xfId="80" applyFont="1" applyFill="1" applyBorder="1" applyAlignment="1">
      <alignment horizontal="center" vertical="center"/>
    </xf>
    <xf numFmtId="0" fontId="10" fillId="0" borderId="1" xfId="80" applyFont="1" applyBorder="1" applyAlignment="1">
      <alignment horizontal="center" vertical="center" wrapText="1"/>
    </xf>
    <xf numFmtId="49" fontId="27" fillId="27" borderId="1" xfId="80" applyNumberFormat="1" applyFont="1" applyFill="1" applyBorder="1"/>
    <xf numFmtId="164" fontId="57" fillId="27" borderId="1" xfId="49" applyNumberFormat="1" applyFont="1" applyFill="1" applyBorder="1"/>
    <xf numFmtId="49" fontId="27" fillId="27" borderId="1" xfId="80" applyNumberFormat="1" applyFont="1" applyFill="1" applyBorder="1" applyAlignment="1">
      <alignment wrapText="1"/>
    </xf>
    <xf numFmtId="3" fontId="11" fillId="0" borderId="14" xfId="0" applyNumberFormat="1" applyFont="1" applyFill="1" applyBorder="1" applyAlignment="1">
      <alignment horizontal="right"/>
    </xf>
    <xf numFmtId="3" fontId="11" fillId="0" borderId="16" xfId="0" applyNumberFormat="1" applyFont="1" applyFill="1" applyBorder="1" applyAlignment="1">
      <alignment horizontal="right"/>
    </xf>
    <xf numFmtId="165" fontId="74" fillId="0" borderId="0" xfId="47" applyNumberFormat="1" applyFont="1" applyFill="1"/>
    <xf numFmtId="3" fontId="75" fillId="0" borderId="0" xfId="0" applyNumberFormat="1" applyFont="1" applyBorder="1" applyAlignment="1">
      <alignment horizontal="right"/>
    </xf>
    <xf numFmtId="0" fontId="11" fillId="2" borderId="0" xfId="48" applyFill="1" applyBorder="1"/>
    <xf numFmtId="3" fontId="13" fillId="0" borderId="14" xfId="0" applyNumberFormat="1" applyFont="1" applyBorder="1" applyAlignment="1">
      <alignment horizontal="center" vertical="center" wrapText="1"/>
    </xf>
    <xf numFmtId="164" fontId="11" fillId="0" borderId="0" xfId="48" applyNumberFormat="1" applyFill="1"/>
    <xf numFmtId="0" fontId="48" fillId="0" borderId="22" xfId="0" applyFont="1" applyBorder="1" applyAlignment="1">
      <alignment horizontal="center" vertical="center"/>
    </xf>
    <xf numFmtId="0" fontId="52" fillId="0" borderId="22" xfId="0" applyFont="1" applyBorder="1" applyAlignment="1">
      <alignment horizontal="center" vertical="center" wrapText="1"/>
    </xf>
    <xf numFmtId="1" fontId="11" fillId="0" borderId="22" xfId="48" applyNumberFormat="1" applyBorder="1" applyAlignment="1">
      <alignment horizontal="center"/>
    </xf>
    <xf numFmtId="164" fontId="11" fillId="0" borderId="22" xfId="48" applyNumberFormat="1" applyFill="1" applyBorder="1" applyAlignment="1">
      <alignment horizontal="right"/>
    </xf>
    <xf numFmtId="164" fontId="11" fillId="0" borderId="22" xfId="48" applyNumberFormat="1" applyFill="1" applyBorder="1" applyAlignment="1">
      <alignment horizontal="right" wrapText="1"/>
    </xf>
    <xf numFmtId="164" fontId="11" fillId="0" borderId="22" xfId="48" applyNumberFormat="1" applyBorder="1" applyAlignment="1">
      <alignment horizontal="right" wrapText="1"/>
    </xf>
    <xf numFmtId="14" fontId="11" fillId="0" borderId="22" xfId="48" applyNumberFormat="1" applyBorder="1" applyAlignment="1">
      <alignment horizontal="right" wrapText="1"/>
    </xf>
    <xf numFmtId="0" fontId="10" fillId="0" borderId="0" xfId="48" applyFont="1" applyAlignment="1">
      <alignment horizontal="center"/>
    </xf>
    <xf numFmtId="0" fontId="11" fillId="0" borderId="22" xfId="0" applyFont="1" applyBorder="1" applyAlignment="1">
      <alignment horizontal="center"/>
    </xf>
    <xf numFmtId="14" fontId="11" fillId="0" borderId="22" xfId="0" applyNumberFormat="1" applyFont="1" applyBorder="1" applyAlignment="1">
      <alignment horizontal="right"/>
    </xf>
    <xf numFmtId="164" fontId="11" fillId="0" borderId="22" xfId="0" applyNumberFormat="1" applyFont="1" applyFill="1" applyBorder="1" applyAlignment="1">
      <alignment horizontal="right"/>
    </xf>
    <xf numFmtId="0" fontId="77" fillId="0" borderId="0" xfId="0" applyFont="1" applyFill="1"/>
    <xf numFmtId="0" fontId="54" fillId="3" borderId="0" xfId="0" applyFont="1" applyFill="1"/>
    <xf numFmtId="3" fontId="11" fillId="0" borderId="28" xfId="0" applyNumberFormat="1" applyFont="1" applyBorder="1" applyAlignment="1">
      <alignment horizontal="left" wrapText="1"/>
    </xf>
    <xf numFmtId="0" fontId="66" fillId="0" borderId="0" xfId="95" applyFont="1"/>
    <xf numFmtId="0" fontId="66" fillId="0" borderId="0" xfId="48" applyFont="1"/>
    <xf numFmtId="0" fontId="70" fillId="0" borderId="0" xfId="48" applyFont="1" applyAlignment="1">
      <alignment horizontal="center"/>
    </xf>
    <xf numFmtId="164" fontId="66" fillId="0" borderId="0" xfId="48" applyNumberFormat="1" applyFont="1"/>
    <xf numFmtId="169" fontId="66" fillId="0" borderId="0" xfId="48" applyNumberFormat="1" applyFont="1"/>
    <xf numFmtId="164" fontId="66" fillId="0" borderId="60" xfId="48" applyNumberFormat="1" applyFont="1" applyBorder="1"/>
    <xf numFmtId="164" fontId="18" fillId="0" borderId="0" xfId="48" applyNumberFormat="1" applyFont="1"/>
    <xf numFmtId="164" fontId="70" fillId="0" borderId="60" xfId="48" applyNumberFormat="1" applyFont="1" applyBorder="1"/>
    <xf numFmtId="164" fontId="73" fillId="0" borderId="0" xfId="48" applyNumberFormat="1" applyFont="1"/>
    <xf numFmtId="0" fontId="66" fillId="0" borderId="0" xfId="48" applyFont="1" applyAlignment="1">
      <alignment horizontal="center" vertical="center" wrapText="1"/>
    </xf>
    <xf numFmtId="0" fontId="48" fillId="0" borderId="0" xfId="48" applyFont="1" applyAlignment="1">
      <alignment horizontal="center" vertical="center" wrapText="1"/>
    </xf>
    <xf numFmtId="0" fontId="66" fillId="0" borderId="25" xfId="48" applyFont="1" applyBorder="1"/>
    <xf numFmtId="0" fontId="48" fillId="0" borderId="51" xfId="48" applyFont="1" applyBorder="1" applyAlignment="1">
      <alignment horizontal="center" vertical="center" wrapText="1"/>
    </xf>
    <xf numFmtId="0" fontId="48" fillId="0" borderId="66" xfId="95" applyFont="1" applyBorder="1" applyAlignment="1">
      <alignment horizontal="center" vertical="center" wrapText="1"/>
    </xf>
    <xf numFmtId="0" fontId="70" fillId="0" borderId="34" xfId="48" applyFont="1" applyBorder="1" applyAlignment="1">
      <alignment horizontal="center" wrapText="1"/>
    </xf>
    <xf numFmtId="0" fontId="11" fillId="0" borderId="51" xfId="48" applyBorder="1" applyAlignment="1">
      <alignment vertical="center" wrapText="1"/>
    </xf>
    <xf numFmtId="171" fontId="0" fillId="0" borderId="51" xfId="96" applyNumberFormat="1" applyFont="1" applyBorder="1" applyAlignment="1">
      <alignment horizontal="right" vertical="center" wrapText="1"/>
    </xf>
    <xf numFmtId="164" fontId="70" fillId="0" borderId="24" xfId="48" applyNumberFormat="1" applyFont="1" applyBorder="1"/>
    <xf numFmtId="164" fontId="66" fillId="0" borderId="22" xfId="48" applyNumberFormat="1" applyFont="1" applyBorder="1"/>
    <xf numFmtId="0" fontId="73" fillId="0" borderId="0" xfId="48" applyFont="1"/>
    <xf numFmtId="0" fontId="18" fillId="0" borderId="0" xfId="48" applyFont="1"/>
    <xf numFmtId="171" fontId="66" fillId="0" borderId="0" xfId="48" applyNumberFormat="1" applyFont="1"/>
    <xf numFmtId="0" fontId="70" fillId="0" borderId="0" xfId="48" applyFont="1"/>
    <xf numFmtId="3" fontId="66" fillId="0" borderId="0" xfId="48" applyNumberFormat="1" applyFont="1"/>
    <xf numFmtId="3" fontId="70" fillId="0" borderId="0" xfId="48" applyNumberFormat="1" applyFont="1"/>
    <xf numFmtId="164" fontId="70" fillId="2" borderId="0" xfId="48" applyNumberFormat="1" applyFont="1" applyFill="1"/>
    <xf numFmtId="164" fontId="70" fillId="0" borderId="0" xfId="48" applyNumberFormat="1" applyFont="1"/>
    <xf numFmtId="0" fontId="11" fillId="0" borderId="65" xfId="48" applyBorder="1" applyAlignment="1">
      <alignment horizontal="center" vertical="center" wrapText="1"/>
    </xf>
    <xf numFmtId="164" fontId="71" fillId="0" borderId="22" xfId="48" applyNumberFormat="1" applyFont="1" applyBorder="1"/>
    <xf numFmtId="164" fontId="70" fillId="30" borderId="22" xfId="48" applyNumberFormat="1" applyFont="1" applyFill="1" applyBorder="1"/>
    <xf numFmtId="164" fontId="70" fillId="31" borderId="22" xfId="95" applyNumberFormat="1" applyFont="1" applyFill="1" applyBorder="1"/>
    <xf numFmtId="164" fontId="71" fillId="0" borderId="0" xfId="48" applyNumberFormat="1" applyFont="1"/>
    <xf numFmtId="0" fontId="11" fillId="32" borderId="51" xfId="48" applyFill="1" applyBorder="1" applyAlignment="1">
      <alignment vertical="center" wrapText="1"/>
    </xf>
    <xf numFmtId="164" fontId="66" fillId="32" borderId="22" xfId="48" applyNumberFormat="1" applyFont="1" applyFill="1" applyBorder="1"/>
    <xf numFmtId="164" fontId="70" fillId="32" borderId="22" xfId="48" applyNumberFormat="1" applyFont="1" applyFill="1" applyBorder="1"/>
    <xf numFmtId="164" fontId="70" fillId="32" borderId="22" xfId="95" applyNumberFormat="1" applyFont="1" applyFill="1" applyBorder="1"/>
    <xf numFmtId="171" fontId="2" fillId="0" borderId="51" xfId="97" applyNumberFormat="1" applyFont="1" applyBorder="1" applyAlignment="1">
      <alignment horizontal="right" vertical="center" wrapText="1"/>
    </xf>
    <xf numFmtId="14" fontId="66" fillId="0" borderId="0" xfId="48" applyNumberFormat="1" applyFont="1"/>
    <xf numFmtId="164" fontId="73" fillId="3" borderId="0" xfId="48" applyNumberFormat="1" applyFont="1" applyFill="1"/>
    <xf numFmtId="0" fontId="73" fillId="3" borderId="0" xfId="48" applyFont="1" applyFill="1"/>
    <xf numFmtId="0" fontId="70" fillId="0" borderId="0" xfId="95" applyFont="1"/>
    <xf numFmtId="164" fontId="66" fillId="0" borderId="0" xfId="95" applyNumberFormat="1" applyFont="1"/>
    <xf numFmtId="3" fontId="66" fillId="0" borderId="0" xfId="95" applyNumberFormat="1" applyFont="1"/>
    <xf numFmtId="164" fontId="78" fillId="0" borderId="0" xfId="48" applyNumberFormat="1" applyFont="1"/>
    <xf numFmtId="0" fontId="78" fillId="0" borderId="0" xfId="48" applyFont="1"/>
    <xf numFmtId="0" fontId="73" fillId="0" borderId="0" xfId="95" applyFont="1"/>
    <xf numFmtId="164" fontId="71" fillId="0" borderId="22" xfId="48" applyNumberFormat="1" applyFont="1" applyBorder="1" applyAlignment="1">
      <alignment horizontal="center" vertical="center" wrapText="1"/>
    </xf>
    <xf numFmtId="0" fontId="71" fillId="0" borderId="22" xfId="48" applyFont="1" applyBorder="1" applyAlignment="1">
      <alignment horizontal="left" vertical="center" wrapText="1"/>
    </xf>
    <xf numFmtId="164" fontId="18" fillId="0" borderId="22" xfId="48" applyNumberFormat="1" applyFont="1" applyBorder="1"/>
    <xf numFmtId="164" fontId="18" fillId="32" borderId="22" xfId="48" applyNumberFormat="1" applyFont="1" applyFill="1" applyBorder="1"/>
    <xf numFmtId="0" fontId="70" fillId="0" borderId="22" xfId="48" applyFont="1" applyBorder="1" applyAlignment="1">
      <alignment wrapText="1"/>
    </xf>
    <xf numFmtId="0" fontId="66" fillId="0" borderId="22" xfId="48" applyFont="1" applyBorder="1" applyAlignment="1">
      <alignment wrapText="1"/>
    </xf>
    <xf numFmtId="164" fontId="70" fillId="0" borderId="22" xfId="48" applyNumberFormat="1" applyFont="1" applyBorder="1"/>
    <xf numFmtId="3" fontId="11" fillId="3" borderId="23" xfId="0" applyNumberFormat="1" applyFont="1" applyFill="1" applyBorder="1"/>
    <xf numFmtId="164" fontId="79" fillId="0" borderId="0" xfId="48" applyNumberFormat="1" applyFont="1"/>
    <xf numFmtId="0" fontId="13" fillId="27" borderId="18" xfId="0" applyFont="1" applyFill="1" applyBorder="1" applyAlignment="1">
      <alignment horizontal="left"/>
    </xf>
    <xf numFmtId="0" fontId="13" fillId="27" borderId="19" xfId="0" applyFont="1" applyFill="1" applyBorder="1" applyAlignment="1">
      <alignment horizontal="left"/>
    </xf>
    <xf numFmtId="0" fontId="13" fillId="27" borderId="20" xfId="0" applyFont="1" applyFill="1" applyBorder="1" applyAlignment="1">
      <alignment horizontal="left"/>
    </xf>
    <xf numFmtId="0" fontId="10" fillId="0" borderId="12" xfId="0" applyFont="1" applyBorder="1" applyAlignment="1">
      <alignment horizontal="center" vertical="center" wrapText="1"/>
    </xf>
    <xf numFmtId="0" fontId="10" fillId="27" borderId="16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0" fontId="76" fillId="0" borderId="0" xfId="3" applyFont="1" applyAlignment="1">
      <alignment vertical="center"/>
    </xf>
    <xf numFmtId="0" fontId="80" fillId="0" borderId="0" xfId="4" applyFont="1" applyAlignment="1">
      <alignment vertical="center"/>
    </xf>
    <xf numFmtId="0" fontId="76" fillId="0" borderId="0" xfId="0" applyFont="1" applyAlignment="1">
      <alignment wrapText="1"/>
    </xf>
    <xf numFmtId="3" fontId="10" fillId="0" borderId="15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3" fontId="11" fillId="0" borderId="0" xfId="0" applyNumberFormat="1" applyFont="1" applyFill="1" applyBorder="1" applyAlignment="1">
      <alignment horizontal="right" vertical="center" wrapText="1"/>
    </xf>
    <xf numFmtId="165" fontId="11" fillId="0" borderId="8" xfId="47" applyNumberFormat="1" applyFont="1" applyFill="1" applyBorder="1" applyAlignment="1">
      <alignment horizontal="right" vertical="center" wrapText="1"/>
    </xf>
    <xf numFmtId="3" fontId="17" fillId="0" borderId="14" xfId="0" applyNumberFormat="1" applyFont="1" applyFill="1" applyBorder="1"/>
    <xf numFmtId="3" fontId="17" fillId="0" borderId="8" xfId="0" applyNumberFormat="1" applyFont="1" applyFill="1" applyBorder="1"/>
    <xf numFmtId="3" fontId="17" fillId="0" borderId="15" xfId="0" applyNumberFormat="1" applyFont="1" applyFill="1" applyBorder="1"/>
    <xf numFmtId="49" fontId="26" fillId="0" borderId="17" xfId="0" applyNumberFormat="1" applyFont="1" applyBorder="1" applyAlignment="1">
      <alignment wrapText="1"/>
    </xf>
    <xf numFmtId="165" fontId="11" fillId="0" borderId="13" xfId="47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0" borderId="15" xfId="0" applyNumberFormat="1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3" fontId="11" fillId="0" borderId="8" xfId="0" applyNumberFormat="1" applyFont="1" applyFill="1" applyBorder="1" applyAlignment="1">
      <alignment horizontal="right" vertical="center" wrapText="1"/>
    </xf>
    <xf numFmtId="3" fontId="11" fillId="0" borderId="14" xfId="0" applyNumberFormat="1" applyFont="1" applyBorder="1" applyAlignment="1">
      <alignment horizontal="right" vertical="center" wrapText="1"/>
    </xf>
    <xf numFmtId="3" fontId="11" fillId="0" borderId="15" xfId="0" applyNumberFormat="1" applyFont="1" applyBorder="1" applyAlignment="1">
      <alignment horizontal="right"/>
    </xf>
    <xf numFmtId="165" fontId="11" fillId="0" borderId="8" xfId="47" applyNumberFormat="1" applyFont="1" applyBorder="1" applyAlignment="1">
      <alignment horizontal="right" vertical="center" wrapText="1"/>
    </xf>
    <xf numFmtId="3" fontId="11" fillId="0" borderId="8" xfId="0" applyNumberFormat="1" applyFont="1" applyFill="1" applyBorder="1" applyAlignment="1">
      <alignment horizontal="right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9" fillId="0" borderId="1" xfId="47" applyNumberFormat="1" applyFont="1" applyBorder="1" applyAlignment="1">
      <alignment horizontal="center" vertical="center" wrapText="1"/>
    </xf>
    <xf numFmtId="3" fontId="19" fillId="0" borderId="1" xfId="0" applyNumberFormat="1" applyFont="1" applyFill="1" applyBorder="1"/>
    <xf numFmtId="3" fontId="19" fillId="0" borderId="1" xfId="0" applyNumberFormat="1" applyFont="1" applyFill="1" applyBorder="1" applyAlignment="1">
      <alignment horizontal="right"/>
    </xf>
    <xf numFmtId="3" fontId="17" fillId="0" borderId="20" xfId="0" applyNumberFormat="1" applyFont="1" applyFill="1" applyBorder="1"/>
    <xf numFmtId="3" fontId="12" fillId="27" borderId="12" xfId="0" applyNumberFormat="1" applyFont="1" applyFill="1" applyBorder="1"/>
    <xf numFmtId="3" fontId="10" fillId="27" borderId="17" xfId="0" applyNumberFormat="1" applyFont="1" applyFill="1" applyBorder="1"/>
    <xf numFmtId="0" fontId="11" fillId="0" borderId="13" xfId="0" applyFont="1" applyFill="1" applyBorder="1"/>
    <xf numFmtId="0" fontId="11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" xfId="0" applyFont="1" applyFill="1" applyBorder="1"/>
    <xf numFmtId="0" fontId="10" fillId="27" borderId="10" xfId="0" applyFont="1" applyFill="1" applyBorder="1" applyAlignment="1">
      <alignment horizontal="left"/>
    </xf>
    <xf numFmtId="0" fontId="10" fillId="27" borderId="12" xfId="0" applyFont="1" applyFill="1" applyBorder="1" applyAlignment="1">
      <alignment horizontal="left"/>
    </xf>
    <xf numFmtId="0" fontId="10" fillId="27" borderId="17" xfId="0" applyFont="1" applyFill="1" applyBorder="1" applyAlignment="1">
      <alignment horizontal="left"/>
    </xf>
    <xf numFmtId="0" fontId="11" fillId="27" borderId="13" xfId="0" applyFont="1" applyFill="1" applyBorder="1"/>
    <xf numFmtId="0" fontId="11" fillId="27" borderId="7" xfId="0" applyFont="1" applyFill="1" applyBorder="1"/>
    <xf numFmtId="0" fontId="11" fillId="27" borderId="8" xfId="0" applyFont="1" applyFill="1" applyBorder="1"/>
    <xf numFmtId="165" fontId="15" fillId="0" borderId="0" xfId="47" applyNumberFormat="1" applyFont="1" applyFill="1"/>
    <xf numFmtId="165" fontId="15" fillId="0" borderId="0" xfId="47" applyNumberFormat="1" applyFont="1"/>
    <xf numFmtId="165" fontId="14" fillId="0" borderId="0" xfId="0" applyNumberFormat="1" applyFont="1"/>
    <xf numFmtId="0" fontId="26" fillId="0" borderId="17" xfId="0" applyFont="1" applyFill="1" applyBorder="1" applyAlignment="1">
      <alignment wrapText="1"/>
    </xf>
    <xf numFmtId="0" fontId="81" fillId="0" borderId="9" xfId="0" applyFont="1" applyFill="1" applyBorder="1" applyAlignment="1">
      <alignment wrapText="1"/>
    </xf>
    <xf numFmtId="165" fontId="19" fillId="0" borderId="7" xfId="47" applyNumberFormat="1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/>
    <xf numFmtId="3" fontId="11" fillId="0" borderId="1" xfId="0" applyNumberFormat="1" applyFont="1" applyFill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/>
    <xf numFmtId="3" fontId="11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0" fontId="11" fillId="28" borderId="14" xfId="80" applyFont="1" applyFill="1" applyBorder="1"/>
    <xf numFmtId="49" fontId="11" fillId="0" borderId="1" xfId="80" applyNumberFormat="1" applyFont="1" applyFill="1" applyBorder="1" applyAlignment="1">
      <alignment wrapText="1"/>
    </xf>
    <xf numFmtId="164" fontId="17" fillId="0" borderId="1" xfId="70" applyNumberFormat="1" applyFont="1" applyFill="1" applyBorder="1"/>
    <xf numFmtId="49" fontId="11" fillId="0" borderId="1" xfId="80" applyNumberFormat="1" applyFont="1" applyFill="1" applyBorder="1"/>
    <xf numFmtId="49" fontId="27" fillId="27" borderId="1" xfId="80" quotePrefix="1" applyNumberFormat="1" applyFont="1" applyFill="1" applyBorder="1" applyAlignment="1">
      <alignment wrapText="1"/>
    </xf>
    <xf numFmtId="165" fontId="58" fillId="0" borderId="0" xfId="47" applyNumberFormat="1" applyFont="1" applyFill="1" applyAlignment="1"/>
    <xf numFmtId="166" fontId="60" fillId="0" borderId="0" xfId="85" applyFont="1" applyFill="1" applyAlignment="1">
      <alignment wrapText="1"/>
    </xf>
    <xf numFmtId="0" fontId="12" fillId="0" borderId="1" xfId="0" applyFont="1" applyBorder="1" applyAlignment="1">
      <alignment horizontal="center" wrapText="1"/>
    </xf>
    <xf numFmtId="0" fontId="83" fillId="0" borderId="22" xfId="0" applyFont="1" applyBorder="1" applyAlignment="1">
      <alignment vertical="center"/>
    </xf>
    <xf numFmtId="6" fontId="83" fillId="0" borderId="22" xfId="0" applyNumberFormat="1" applyFont="1" applyBorder="1" applyAlignment="1">
      <alignment horizontal="center" vertical="center"/>
    </xf>
    <xf numFmtId="0" fontId="83" fillId="0" borderId="22" xfId="0" applyFont="1" applyBorder="1" applyAlignment="1">
      <alignment vertical="center" wrapText="1"/>
    </xf>
    <xf numFmtId="6" fontId="83" fillId="0" borderId="22" xfId="0" applyNumberFormat="1" applyFont="1" applyFill="1" applyBorder="1" applyAlignment="1">
      <alignment horizontal="center" vertical="center"/>
    </xf>
    <xf numFmtId="0" fontId="11" fillId="0" borderId="22" xfId="80" applyFont="1" applyBorder="1"/>
    <xf numFmtId="164" fontId="85" fillId="0" borderId="22" xfId="98" applyNumberFormat="1" applyFont="1" applyFill="1" applyBorder="1" applyAlignment="1">
      <alignment horizontal="center"/>
    </xf>
    <xf numFmtId="0" fontId="84" fillId="0" borderId="22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1" fillId="0" borderId="0" xfId="3" applyFont="1" applyAlignment="1">
      <alignment horizontal="center" vertical="center"/>
    </xf>
    <xf numFmtId="165" fontId="74" fillId="0" borderId="0" xfId="47" applyNumberFormat="1" applyFont="1"/>
    <xf numFmtId="166" fontId="58" fillId="0" borderId="51" xfId="85" applyFont="1" applyFill="1" applyBorder="1" applyAlignment="1">
      <alignment horizontal="left" wrapText="1"/>
    </xf>
    <xf numFmtId="43" fontId="86" fillId="0" borderId="0" xfId="47" applyFont="1" applyFill="1" applyAlignment="1"/>
    <xf numFmtId="172" fontId="11" fillId="0" borderId="22" xfId="98" applyNumberFormat="1" applyFont="1" applyBorder="1" applyAlignment="1">
      <alignment vertical="center"/>
    </xf>
    <xf numFmtId="172" fontId="11" fillId="0" borderId="22" xfId="98" applyNumberFormat="1" applyFont="1" applyFill="1" applyBorder="1" applyAlignment="1">
      <alignment horizontal="right"/>
    </xf>
    <xf numFmtId="172" fontId="11" fillId="0" borderId="22" xfId="98" applyNumberFormat="1" applyFont="1" applyBorder="1" applyAlignment="1">
      <alignment wrapText="1"/>
    </xf>
    <xf numFmtId="172" fontId="11" fillId="0" borderId="22" xfId="98" applyNumberFormat="1" applyFont="1" applyFill="1" applyBorder="1"/>
    <xf numFmtId="172" fontId="10" fillId="0" borderId="22" xfId="98" applyNumberFormat="1" applyFont="1" applyBorder="1"/>
    <xf numFmtId="172" fontId="10" fillId="0" borderId="22" xfId="98" applyNumberFormat="1" applyFont="1" applyFill="1" applyBorder="1"/>
    <xf numFmtId="172" fontId="11" fillId="0" borderId="34" xfId="98" applyNumberFormat="1" applyFont="1" applyBorder="1" applyAlignment="1">
      <alignment vertical="center"/>
    </xf>
    <xf numFmtId="172" fontId="11" fillId="0" borderId="34" xfId="98" applyNumberFormat="1" applyFont="1" applyFill="1" applyBorder="1" applyAlignment="1">
      <alignment horizontal="right"/>
    </xf>
    <xf numFmtId="0" fontId="10" fillId="0" borderId="0" xfId="3" applyFont="1" applyAlignment="1">
      <alignment vertical="center"/>
    </xf>
    <xf numFmtId="0" fontId="10" fillId="0" borderId="0" xfId="0" applyFont="1" applyAlignment="1">
      <alignment wrapText="1"/>
    </xf>
    <xf numFmtId="0" fontId="81" fillId="0" borderId="0" xfId="0" applyFont="1" applyFill="1" applyBorder="1" applyAlignment="1">
      <alignment wrapText="1"/>
    </xf>
    <xf numFmtId="165" fontId="11" fillId="0" borderId="0" xfId="47" applyNumberFormat="1" applyFont="1"/>
    <xf numFmtId="0" fontId="10" fillId="0" borderId="1" xfId="80" applyFont="1" applyFill="1" applyBorder="1" applyAlignment="1">
      <alignment horizontal="center" vertical="center" wrapText="1"/>
    </xf>
    <xf numFmtId="0" fontId="10" fillId="0" borderId="1" xfId="80" applyFont="1" applyFill="1" applyBorder="1" applyAlignment="1">
      <alignment horizontal="center" wrapText="1"/>
    </xf>
    <xf numFmtId="0" fontId="87" fillId="0" borderId="0" xfId="1" applyFont="1" applyAlignment="1"/>
    <xf numFmtId="0" fontId="87" fillId="0" borderId="0" xfId="1" applyFont="1" applyAlignment="1">
      <alignment horizontal="right"/>
    </xf>
    <xf numFmtId="0" fontId="1" fillId="0" borderId="0" xfId="99"/>
    <xf numFmtId="0" fontId="48" fillId="0" borderId="0" xfId="99" applyFont="1" applyAlignment="1">
      <alignment horizontal="center" vertical="center"/>
    </xf>
    <xf numFmtId="0" fontId="48" fillId="0" borderId="0" xfId="99" applyFont="1" applyAlignment="1">
      <alignment horizontal="center" vertical="center" wrapText="1"/>
    </xf>
    <xf numFmtId="0" fontId="72" fillId="0" borderId="22" xfId="99" applyFont="1" applyFill="1" applyBorder="1" applyAlignment="1">
      <alignment wrapText="1"/>
    </xf>
    <xf numFmtId="0" fontId="11" fillId="0" borderId="0" xfId="1" applyBorder="1" applyAlignment="1">
      <alignment horizontal="center" vertical="center" textRotation="90"/>
    </xf>
    <xf numFmtId="164" fontId="87" fillId="0" borderId="22" xfId="1" applyNumberFormat="1" applyFont="1" applyBorder="1"/>
    <xf numFmtId="0" fontId="11" fillId="0" borderId="22" xfId="1" applyBorder="1"/>
    <xf numFmtId="164" fontId="87" fillId="0" borderId="0" xfId="1" applyNumberFormat="1" applyFont="1" applyBorder="1"/>
    <xf numFmtId="9" fontId="87" fillId="0" borderId="22" xfId="88" applyFont="1" applyBorder="1"/>
    <xf numFmtId="0" fontId="87" fillId="0" borderId="0" xfId="1" applyFont="1" applyBorder="1" applyAlignment="1">
      <alignment horizontal="left"/>
    </xf>
    <xf numFmtId="0" fontId="11" fillId="0" borderId="0" xfId="1" applyBorder="1"/>
    <xf numFmtId="172" fontId="0" fillId="0" borderId="0" xfId="100" applyNumberFormat="1" applyFont="1"/>
    <xf numFmtId="0" fontId="87" fillId="0" borderId="0" xfId="1" applyFont="1"/>
    <xf numFmtId="172" fontId="87" fillId="0" borderId="0" xfId="100" applyNumberFormat="1" applyFont="1"/>
    <xf numFmtId="164" fontId="11" fillId="0" borderId="0" xfId="1" applyNumberFormat="1"/>
    <xf numFmtId="0" fontId="11" fillId="0" borderId="22" xfId="1" applyBorder="1" applyAlignment="1">
      <alignment horizontal="center" vertical="center" wrapText="1"/>
    </xf>
    <xf numFmtId="164" fontId="11" fillId="0" borderId="22" xfId="1" applyNumberFormat="1" applyBorder="1" applyAlignment="1">
      <alignment horizontal="center" vertical="center"/>
    </xf>
    <xf numFmtId="164" fontId="11" fillId="0" borderId="22" xfId="1" applyNumberFormat="1" applyFont="1" applyBorder="1" applyAlignment="1">
      <alignment horizontal="center" vertical="center"/>
    </xf>
    <xf numFmtId="164" fontId="87" fillId="2" borderId="22" xfId="1" applyNumberFormat="1" applyFont="1" applyFill="1" applyBorder="1" applyAlignment="1">
      <alignment horizontal="center" vertical="center"/>
    </xf>
    <xf numFmtId="0" fontId="11" fillId="0" borderId="22" xfId="1" applyBorder="1" applyAlignment="1">
      <alignment horizontal="center" vertical="center"/>
    </xf>
    <xf numFmtId="0" fontId="10" fillId="0" borderId="0" xfId="1" applyFont="1" applyBorder="1"/>
    <xf numFmtId="164" fontId="88" fillId="0" borderId="0" xfId="1" applyNumberFormat="1" applyFont="1"/>
    <xf numFmtId="0" fontId="11" fillId="3" borderId="0" xfId="1" applyFill="1" applyBorder="1"/>
    <xf numFmtId="164" fontId="10" fillId="3" borderId="0" xfId="1" applyNumberFormat="1" applyFont="1" applyFill="1" applyBorder="1"/>
    <xf numFmtId="0" fontId="18" fillId="0" borderId="0" xfId="1" applyFont="1" applyFill="1" applyBorder="1"/>
    <xf numFmtId="3" fontId="18" fillId="0" borderId="0" xfId="50" applyNumberFormat="1" applyFont="1" applyFill="1" applyBorder="1"/>
    <xf numFmtId="164" fontId="11" fillId="0" borderId="0" xfId="1" applyNumberFormat="1" applyBorder="1"/>
    <xf numFmtId="0" fontId="70" fillId="0" borderId="0" xfId="1" applyFont="1" applyBorder="1"/>
    <xf numFmtId="3" fontId="70" fillId="0" borderId="0" xfId="1" applyNumberFormat="1" applyFont="1" applyFill="1" applyBorder="1"/>
    <xf numFmtId="0" fontId="1" fillId="0" borderId="0" xfId="101" applyBorder="1"/>
    <xf numFmtId="3" fontId="1" fillId="0" borderId="0" xfId="101" applyNumberFormat="1" applyBorder="1"/>
    <xf numFmtId="0" fontId="70" fillId="0" borderId="0" xfId="101" applyFont="1" applyFill="1" applyBorder="1"/>
    <xf numFmtId="0" fontId="10" fillId="0" borderId="0" xfId="48" applyFont="1" applyFill="1" applyAlignment="1">
      <alignment horizontal="center"/>
    </xf>
    <xf numFmtId="0" fontId="10" fillId="0" borderId="0" xfId="48" applyFont="1" applyFill="1"/>
    <xf numFmtId="0" fontId="90" fillId="0" borderId="22" xfId="0" applyFont="1" applyFill="1" applyBorder="1" applyAlignment="1">
      <alignment horizontal="left" vertical="top" wrapText="1"/>
    </xf>
    <xf numFmtId="3" fontId="90" fillId="0" borderId="22" xfId="0" applyNumberFormat="1" applyFont="1" applyFill="1" applyBorder="1" applyAlignment="1">
      <alignment horizontal="right" vertical="top" wrapText="1"/>
    </xf>
    <xf numFmtId="0" fontId="91" fillId="0" borderId="22" xfId="0" applyFont="1" applyFill="1" applyBorder="1" applyAlignment="1">
      <alignment horizontal="left" vertical="top" wrapText="1"/>
    </xf>
    <xf numFmtId="3" fontId="91" fillId="0" borderId="22" xfId="0" applyNumberFormat="1" applyFont="1" applyFill="1" applyBorder="1" applyAlignment="1">
      <alignment horizontal="right" vertical="top" wrapText="1"/>
    </xf>
    <xf numFmtId="0" fontId="92" fillId="33" borderId="22" xfId="0" applyFont="1" applyFill="1" applyBorder="1" applyAlignment="1">
      <alignment horizontal="center" vertical="top" wrapText="1"/>
    </xf>
    <xf numFmtId="0" fontId="94" fillId="0" borderId="22" xfId="0" applyFont="1" applyFill="1" applyBorder="1" applyAlignment="1">
      <alignment horizontal="left" vertical="top" wrapText="1"/>
    </xf>
    <xf numFmtId="3" fontId="94" fillId="0" borderId="22" xfId="0" applyNumberFormat="1" applyFont="1" applyFill="1" applyBorder="1" applyAlignment="1">
      <alignment horizontal="right" vertical="top" wrapText="1"/>
    </xf>
    <xf numFmtId="0" fontId="95" fillId="0" borderId="22" xfId="0" applyFont="1" applyFill="1" applyBorder="1" applyAlignment="1">
      <alignment horizontal="left" vertical="top" wrapText="1"/>
    </xf>
    <xf numFmtId="3" fontId="95" fillId="0" borderId="22" xfId="0" applyNumberFormat="1" applyFont="1" applyFill="1" applyBorder="1" applyAlignment="1">
      <alignment horizontal="right" vertical="top" wrapText="1"/>
    </xf>
    <xf numFmtId="0" fontId="96" fillId="0" borderId="0" xfId="0" applyFont="1" applyFill="1" applyBorder="1" applyAlignment="1">
      <alignment horizontal="left" vertical="top"/>
    </xf>
    <xf numFmtId="0" fontId="95" fillId="34" borderId="22" xfId="0" applyFont="1" applyFill="1" applyBorder="1" applyAlignment="1">
      <alignment horizontal="left" vertical="top" wrapText="1"/>
    </xf>
    <xf numFmtId="3" fontId="95" fillId="34" borderId="22" xfId="0" applyNumberFormat="1" applyFont="1" applyFill="1" applyBorder="1" applyAlignment="1">
      <alignment horizontal="right" vertical="top" wrapText="1"/>
    </xf>
    <xf numFmtId="0" fontId="91" fillId="34" borderId="22" xfId="0" applyFont="1" applyFill="1" applyBorder="1" applyAlignment="1">
      <alignment horizontal="left" vertical="top" wrapText="1"/>
    </xf>
    <xf numFmtId="3" fontId="91" fillId="34" borderId="22" xfId="0" applyNumberFormat="1" applyFont="1" applyFill="1" applyBorder="1" applyAlignment="1">
      <alignment horizontal="right" vertical="top" wrapText="1"/>
    </xf>
    <xf numFmtId="166" fontId="41" fillId="0" borderId="0" xfId="85" applyFont="1" applyFill="1" applyAlignment="1"/>
    <xf numFmtId="0" fontId="93" fillId="33" borderId="22" xfId="0" applyFont="1" applyFill="1" applyBorder="1" applyAlignment="1">
      <alignment horizontal="center" vertical="top" wrapText="1"/>
    </xf>
    <xf numFmtId="0" fontId="96" fillId="0" borderId="0" xfId="1" applyFont="1" applyFill="1" applyBorder="1" applyAlignment="1">
      <alignment horizontal="left" vertical="top"/>
    </xf>
    <xf numFmtId="0" fontId="97" fillId="0" borderId="0" xfId="1" applyFont="1" applyFill="1" applyBorder="1" applyAlignment="1">
      <alignment horizontal="left" vertical="top"/>
    </xf>
    <xf numFmtId="0" fontId="94" fillId="34" borderId="22" xfId="0" applyFont="1" applyFill="1" applyBorder="1" applyAlignment="1">
      <alignment horizontal="left" vertical="top" wrapText="1"/>
    </xf>
    <xf numFmtId="3" fontId="94" fillId="34" borderId="22" xfId="0" applyNumberFormat="1" applyFont="1" applyFill="1" applyBorder="1" applyAlignment="1">
      <alignment horizontal="right" vertical="top" wrapText="1"/>
    </xf>
    <xf numFmtId="0" fontId="92" fillId="35" borderId="22" xfId="0" applyFont="1" applyFill="1" applyBorder="1" applyAlignment="1">
      <alignment horizontal="center" vertical="top" wrapText="1"/>
    </xf>
    <xf numFmtId="0" fontId="48" fillId="0" borderId="56" xfId="48" applyFont="1" applyBorder="1" applyAlignment="1">
      <alignment horizontal="center" vertical="center" wrapText="1"/>
    </xf>
    <xf numFmtId="171" fontId="0" fillId="0" borderId="66" xfId="96" applyNumberFormat="1" applyFont="1" applyBorder="1" applyAlignment="1">
      <alignment horizontal="right" vertical="center" wrapText="1"/>
    </xf>
    <xf numFmtId="0" fontId="48" fillId="0" borderId="22" xfId="95" applyFont="1" applyBorder="1" applyAlignment="1">
      <alignment horizontal="center" vertical="center" wrapText="1"/>
    </xf>
    <xf numFmtId="0" fontId="18" fillId="0" borderId="22" xfId="48" applyFont="1" applyBorder="1" applyAlignment="1">
      <alignment vertical="center" wrapText="1"/>
    </xf>
    <xf numFmtId="0" fontId="66" fillId="0" borderId="25" xfId="48" applyFont="1" applyBorder="1" applyAlignment="1">
      <alignment vertical="center" wrapText="1"/>
    </xf>
    <xf numFmtId="0" fontId="18" fillId="0" borderId="0" xfId="95" applyFont="1"/>
    <xf numFmtId="0" fontId="70" fillId="30" borderId="22" xfId="48" applyFont="1" applyFill="1" applyBorder="1" applyAlignment="1">
      <alignment vertical="center" wrapText="1"/>
    </xf>
    <xf numFmtId="0" fontId="66" fillId="0" borderId="68" xfId="48" applyFont="1" applyBorder="1" applyAlignment="1">
      <alignment wrapText="1"/>
    </xf>
    <xf numFmtId="0" fontId="66" fillId="0" borderId="0" xfId="48" applyFont="1" applyBorder="1"/>
    <xf numFmtId="164" fontId="70" fillId="0" borderId="68" xfId="48" applyNumberFormat="1" applyFont="1" applyBorder="1"/>
    <xf numFmtId="165" fontId="66" fillId="0" borderId="0" xfId="47" applyNumberFormat="1" applyFont="1" applyBorder="1"/>
    <xf numFmtId="164" fontId="70" fillId="0" borderId="0" xfId="48" applyNumberFormat="1" applyFont="1" applyBorder="1"/>
    <xf numFmtId="164" fontId="18" fillId="0" borderId="22" xfId="48" applyNumberFormat="1" applyFont="1" applyBorder="1" applyAlignment="1">
      <alignment horizontal="center" vertical="center" wrapText="1"/>
    </xf>
    <xf numFmtId="0" fontId="11" fillId="0" borderId="51" xfId="48" applyFill="1" applyBorder="1" applyAlignment="1">
      <alignment vertical="center" wrapText="1"/>
    </xf>
    <xf numFmtId="171" fontId="0" fillId="0" borderId="51" xfId="96" applyNumberFormat="1" applyFont="1" applyFill="1" applyBorder="1" applyAlignment="1">
      <alignment horizontal="right" vertical="center" wrapText="1"/>
    </xf>
    <xf numFmtId="164" fontId="18" fillId="0" borderId="22" xfId="48" applyNumberFormat="1" applyFont="1" applyFill="1" applyBorder="1"/>
    <xf numFmtId="164" fontId="66" fillId="0" borderId="22" xfId="48" applyNumberFormat="1" applyFont="1" applyFill="1" applyBorder="1"/>
    <xf numFmtId="171" fontId="1" fillId="0" borderId="51" xfId="97" applyNumberFormat="1" applyFont="1" applyFill="1" applyBorder="1" applyAlignment="1">
      <alignment horizontal="right" vertical="center" wrapText="1"/>
    </xf>
    <xf numFmtId="0" fontId="70" fillId="0" borderId="0" xfId="102" applyFont="1"/>
    <xf numFmtId="0" fontId="66" fillId="0" borderId="0" xfId="102" applyFont="1"/>
    <xf numFmtId="0" fontId="70" fillId="0" borderId="22" xfId="48" applyFont="1" applyBorder="1" applyAlignment="1">
      <alignment horizontal="center" vertical="center" wrapText="1"/>
    </xf>
    <xf numFmtId="172" fontId="18" fillId="0" borderId="0" xfId="98" applyNumberFormat="1" applyFont="1"/>
    <xf numFmtId="0" fontId="70" fillId="34" borderId="0" xfId="48" applyFont="1" applyFill="1"/>
    <xf numFmtId="0" fontId="66" fillId="34" borderId="0" xfId="48" applyFont="1" applyFill="1"/>
    <xf numFmtId="164" fontId="66" fillId="34" borderId="0" xfId="48" applyNumberFormat="1" applyFont="1" applyFill="1"/>
    <xf numFmtId="172" fontId="66" fillId="34" borderId="0" xfId="98" applyNumberFormat="1" applyFont="1" applyFill="1"/>
    <xf numFmtId="164" fontId="18" fillId="34" borderId="0" xfId="48" applyNumberFormat="1" applyFont="1" applyFill="1"/>
    <xf numFmtId="164" fontId="70" fillId="34" borderId="69" xfId="48" applyNumberFormat="1" applyFont="1" applyFill="1" applyBorder="1"/>
    <xf numFmtId="0" fontId="70" fillId="34" borderId="69" xfId="48" applyFont="1" applyFill="1" applyBorder="1"/>
    <xf numFmtId="0" fontId="66" fillId="34" borderId="69" xfId="48" applyFont="1" applyFill="1" applyBorder="1"/>
    <xf numFmtId="0" fontId="11" fillId="2" borderId="0" xfId="1" applyFill="1"/>
    <xf numFmtId="164" fontId="70" fillId="0" borderId="0" xfId="48" applyNumberFormat="1" applyFont="1" applyFill="1"/>
    <xf numFmtId="0" fontId="89" fillId="0" borderId="0" xfId="48" applyFont="1" applyAlignment="1">
      <alignment horizontal="center"/>
    </xf>
    <xf numFmtId="164" fontId="18" fillId="3" borderId="0" xfId="48" applyNumberFormat="1" applyFont="1" applyFill="1"/>
    <xf numFmtId="164" fontId="89" fillId="0" borderId="0" xfId="48" applyNumberFormat="1" applyFont="1"/>
    <xf numFmtId="0" fontId="89" fillId="0" borderId="0" xfId="48" applyFont="1"/>
    <xf numFmtId="3" fontId="17" fillId="0" borderId="1" xfId="0" applyNumberFormat="1" applyFont="1" applyFill="1" applyBorder="1"/>
    <xf numFmtId="165" fontId="11" fillId="0" borderId="13" xfId="47" applyNumberFormat="1" applyFont="1" applyBorder="1" applyAlignment="1">
      <alignment horizontal="right" vertical="center" wrapText="1"/>
    </xf>
    <xf numFmtId="3" fontId="11" fillId="0" borderId="10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3" fontId="11" fillId="0" borderId="11" xfId="0" applyNumberFormat="1" applyFont="1" applyFill="1" applyBorder="1" applyAlignment="1">
      <alignment horizontal="right" vertical="center" wrapText="1"/>
    </xf>
    <xf numFmtId="0" fontId="26" fillId="0" borderId="15" xfId="0" applyFont="1" applyFill="1" applyBorder="1" applyAlignment="1">
      <alignment wrapText="1"/>
    </xf>
    <xf numFmtId="0" fontId="12" fillId="0" borderId="13" xfId="0" applyFont="1" applyFill="1" applyBorder="1" applyAlignment="1">
      <alignment horizontal="center" vertical="center" wrapText="1"/>
    </xf>
    <xf numFmtId="0" fontId="11" fillId="0" borderId="8" xfId="0" applyFont="1" applyBorder="1"/>
    <xf numFmtId="172" fontId="17" fillId="0" borderId="1" xfId="98" applyNumberFormat="1" applyFont="1" applyBorder="1"/>
    <xf numFmtId="172" fontId="12" fillId="27" borderId="1" xfId="98" applyNumberFormat="1" applyFont="1" applyFill="1" applyBorder="1"/>
    <xf numFmtId="0" fontId="10" fillId="0" borderId="70" xfId="80" applyFont="1" applyFill="1" applyBorder="1"/>
    <xf numFmtId="49" fontId="11" fillId="0" borderId="70" xfId="80" applyNumberFormat="1" applyFill="1" applyBorder="1"/>
    <xf numFmtId="172" fontId="11" fillId="0" borderId="70" xfId="80" applyNumberFormat="1" applyFont="1" applyBorder="1"/>
    <xf numFmtId="0" fontId="10" fillId="34" borderId="70" xfId="80" applyFont="1" applyFill="1" applyBorder="1"/>
    <xf numFmtId="172" fontId="10" fillId="34" borderId="70" xfId="80" applyNumberFormat="1" applyFont="1" applyFill="1" applyBorder="1"/>
    <xf numFmtId="172" fontId="84" fillId="0" borderId="68" xfId="98" applyNumberFormat="1" applyFont="1" applyBorder="1" applyAlignment="1">
      <alignment vertical="center"/>
    </xf>
    <xf numFmtId="0" fontId="84" fillId="0" borderId="0" xfId="0" applyFont="1" applyBorder="1" applyAlignment="1">
      <alignment horizontal="center" vertical="center"/>
    </xf>
    <xf numFmtId="0" fontId="0" fillId="0" borderId="68" xfId="0" applyBorder="1" applyAlignment="1">
      <alignment horizontal="center"/>
    </xf>
    <xf numFmtId="6" fontId="0" fillId="0" borderId="68" xfId="0" applyNumberFormat="1" applyBorder="1" applyAlignment="1">
      <alignment horizontal="center"/>
    </xf>
    <xf numFmtId="6" fontId="48" fillId="0" borderId="68" xfId="0" applyNumberFormat="1" applyFont="1" applyBorder="1" applyAlignment="1">
      <alignment horizontal="center"/>
    </xf>
    <xf numFmtId="0" fontId="11" fillId="0" borderId="68" xfId="80" applyBorder="1"/>
    <xf numFmtId="0" fontId="10" fillId="0" borderId="70" xfId="80" applyFont="1" applyFill="1" applyBorder="1" applyAlignment="1">
      <alignment horizontal="center"/>
    </xf>
    <xf numFmtId="0" fontId="10" fillId="0" borderId="70" xfId="80" applyFont="1" applyBorder="1" applyAlignment="1">
      <alignment horizontal="center"/>
    </xf>
    <xf numFmtId="172" fontId="11" fillId="0" borderId="70" xfId="80" applyNumberFormat="1" applyFill="1" applyBorder="1" applyAlignment="1">
      <alignment horizontal="center"/>
    </xf>
    <xf numFmtId="172" fontId="11" fillId="0" borderId="70" xfId="98" applyNumberFormat="1" applyFont="1" applyBorder="1" applyAlignment="1">
      <alignment horizontal="center"/>
    </xf>
    <xf numFmtId="172" fontId="11" fillId="0" borderId="70" xfId="98" applyNumberFormat="1" applyFont="1" applyFill="1" applyBorder="1" applyAlignment="1">
      <alignment horizontal="center"/>
    </xf>
    <xf numFmtId="172" fontId="10" fillId="34" borderId="70" xfId="80" applyNumberFormat="1" applyFont="1" applyFill="1" applyBorder="1" applyAlignment="1">
      <alignment horizontal="center"/>
    </xf>
    <xf numFmtId="172" fontId="10" fillId="34" borderId="70" xfId="98" applyNumberFormat="1" applyFont="1" applyFill="1" applyBorder="1" applyAlignment="1">
      <alignment horizontal="center"/>
    </xf>
    <xf numFmtId="164" fontId="1" fillId="0" borderId="70" xfId="99" applyNumberFormat="1" applyFill="1" applyBorder="1"/>
    <xf numFmtId="164" fontId="1" fillId="0" borderId="70" xfId="99" applyNumberFormat="1" applyBorder="1"/>
    <xf numFmtId="0" fontId="72" fillId="0" borderId="70" xfId="99" applyFont="1" applyFill="1" applyBorder="1" applyAlignment="1">
      <alignment wrapText="1"/>
    </xf>
    <xf numFmtId="164" fontId="1" fillId="0" borderId="34" xfId="99" applyNumberFormat="1" applyBorder="1"/>
    <xf numFmtId="0" fontId="72" fillId="0" borderId="34" xfId="99" applyFont="1" applyFill="1" applyBorder="1" applyAlignment="1">
      <alignment wrapText="1"/>
    </xf>
    <xf numFmtId="0" fontId="72" fillId="0" borderId="70" xfId="99" applyFont="1" applyBorder="1" applyAlignment="1">
      <alignment wrapText="1"/>
    </xf>
    <xf numFmtId="0" fontId="11" fillId="0" borderId="70" xfId="1" quotePrefix="1" applyFont="1" applyBorder="1" applyAlignment="1">
      <alignment horizontal="center" vertical="center" wrapText="1"/>
    </xf>
    <xf numFmtId="0" fontId="11" fillId="0" borderId="70" xfId="1" applyBorder="1" applyAlignment="1">
      <alignment horizontal="center" vertical="center" wrapText="1"/>
    </xf>
    <xf numFmtId="164" fontId="11" fillId="0" borderId="70" xfId="1" applyNumberFormat="1" applyBorder="1" applyAlignment="1">
      <alignment horizontal="center" vertical="center"/>
    </xf>
    <xf numFmtId="164" fontId="11" fillId="0" borderId="70" xfId="1" applyNumberFormat="1" applyFont="1" applyBorder="1" applyAlignment="1">
      <alignment horizontal="center" vertical="center"/>
    </xf>
    <xf numFmtId="164" fontId="87" fillId="36" borderId="70" xfId="1" applyNumberFormat="1" applyFont="1" applyFill="1" applyBorder="1" applyAlignment="1">
      <alignment horizontal="center" vertical="center"/>
    </xf>
    <xf numFmtId="0" fontId="11" fillId="0" borderId="70" xfId="1" applyBorder="1"/>
    <xf numFmtId="0" fontId="11" fillId="0" borderId="70" xfId="1" applyBorder="1" applyAlignment="1">
      <alignment horizontal="center" vertical="center"/>
    </xf>
    <xf numFmtId="0" fontId="26" fillId="0" borderId="22" xfId="48" applyFont="1" applyBorder="1" applyAlignment="1">
      <alignment horizontal="left" vertical="center" wrapText="1"/>
    </xf>
    <xf numFmtId="6" fontId="0" fillId="0" borderId="0" xfId="0" applyNumberFormat="1" applyAlignment="1">
      <alignment vertical="center"/>
    </xf>
    <xf numFmtId="172" fontId="12" fillId="0" borderId="6" xfId="98" applyNumberFormat="1" applyFont="1" applyBorder="1"/>
    <xf numFmtId="172" fontId="12" fillId="0" borderId="2" xfId="98" applyNumberFormat="1" applyFont="1" applyBorder="1"/>
    <xf numFmtId="172" fontId="12" fillId="0" borderId="5" xfId="98" applyNumberFormat="1" applyFont="1" applyBorder="1"/>
    <xf numFmtId="164" fontId="12" fillId="0" borderId="5" xfId="0" applyNumberFormat="1" applyFont="1" applyBorder="1"/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horizontal="left"/>
    </xf>
    <xf numFmtId="0" fontId="0" fillId="0" borderId="1" xfId="0" applyFill="1" applyBorder="1" applyAlignment="1">
      <alignment wrapText="1"/>
    </xf>
    <xf numFmtId="165" fontId="60" fillId="0" borderId="0" xfId="47" applyNumberFormat="1" applyFont="1" applyFill="1" applyAlignment="1">
      <alignment horizontal="center" vertical="center"/>
    </xf>
    <xf numFmtId="168" fontId="68" fillId="0" borderId="56" xfId="85" applyNumberFormat="1" applyFont="1" applyFill="1" applyBorder="1" applyAlignment="1"/>
    <xf numFmtId="166" fontId="58" fillId="0" borderId="55" xfId="85" applyFont="1" applyFill="1" applyBorder="1" applyAlignment="1">
      <alignment wrapText="1"/>
    </xf>
    <xf numFmtId="168" fontId="68" fillId="0" borderId="55" xfId="85" applyNumberFormat="1" applyFont="1" applyFill="1" applyBorder="1" applyAlignment="1"/>
    <xf numFmtId="168" fontId="68" fillId="0" borderId="59" xfId="85" applyNumberFormat="1" applyFont="1" applyFill="1" applyBorder="1" applyAlignment="1"/>
    <xf numFmtId="166" fontId="69" fillId="29" borderId="22" xfId="85" applyFont="1" applyFill="1" applyBorder="1" applyAlignment="1">
      <alignment wrapText="1"/>
    </xf>
    <xf numFmtId="166" fontId="69" fillId="29" borderId="22" xfId="85" applyFont="1" applyFill="1" applyBorder="1" applyAlignment="1"/>
    <xf numFmtId="168" fontId="69" fillId="29" borderId="22" xfId="85" applyNumberFormat="1" applyFont="1" applyFill="1" applyBorder="1" applyAlignment="1"/>
    <xf numFmtId="165" fontId="68" fillId="0" borderId="70" xfId="47" applyNumberFormat="1" applyFont="1" applyFill="1" applyBorder="1" applyAlignment="1"/>
    <xf numFmtId="165" fontId="69" fillId="2" borderId="70" xfId="47" applyNumberFormat="1" applyFont="1" applyFill="1" applyBorder="1" applyAlignment="1"/>
    <xf numFmtId="3" fontId="0" fillId="0" borderId="1" xfId="0" applyNumberFormat="1" applyFill="1" applyBorder="1"/>
    <xf numFmtId="3" fontId="0" fillId="0" borderId="0" xfId="0" applyNumberFormat="1" applyFill="1" applyBorder="1"/>
    <xf numFmtId="3" fontId="0" fillId="0" borderId="0" xfId="0" applyNumberFormat="1" applyFill="1"/>
    <xf numFmtId="0" fontId="0" fillId="0" borderId="1" xfId="0" applyFill="1" applyBorder="1"/>
    <xf numFmtId="0" fontId="10" fillId="0" borderId="0" xfId="0" applyFont="1" applyBorder="1"/>
    <xf numFmtId="3" fontId="10" fillId="0" borderId="8" xfId="0" applyNumberFormat="1" applyFont="1" applyFill="1" applyBorder="1"/>
    <xf numFmtId="3" fontId="11" fillId="0" borderId="7" xfId="0" applyNumberFormat="1" applyFont="1" applyFill="1" applyBorder="1"/>
    <xf numFmtId="3" fontId="11" fillId="0" borderId="6" xfId="0" applyNumberFormat="1" applyFont="1" applyFill="1" applyBorder="1"/>
    <xf numFmtId="3" fontId="10" fillId="0" borderId="6" xfId="0" applyNumberFormat="1" applyFont="1" applyFill="1" applyBorder="1"/>
    <xf numFmtId="6" fontId="84" fillId="34" borderId="22" xfId="0" applyNumberFormat="1" applyFont="1" applyFill="1" applyBorder="1" applyAlignment="1">
      <alignment horizontal="center" vertical="center"/>
    </xf>
    <xf numFmtId="172" fontId="10" fillId="34" borderId="22" xfId="98" applyNumberFormat="1" applyFont="1" applyFill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8" fillId="0" borderId="14" xfId="0" applyFont="1" applyFill="1" applyBorder="1" applyAlignment="1">
      <alignment horizontal="center" wrapText="1"/>
    </xf>
    <xf numFmtId="0" fontId="98" fillId="0" borderId="0" xfId="0" applyFont="1" applyFill="1" applyBorder="1" applyAlignment="1">
      <alignment horizontal="center" wrapText="1"/>
    </xf>
    <xf numFmtId="164" fontId="98" fillId="0" borderId="14" xfId="0" applyNumberFormat="1" applyFont="1" applyFill="1" applyBorder="1"/>
    <xf numFmtId="172" fontId="54" fillId="0" borderId="0" xfId="98" applyNumberFormat="1" applyFont="1" applyBorder="1"/>
    <xf numFmtId="172" fontId="54" fillId="0" borderId="0" xfId="0" applyNumberFormat="1" applyFont="1" applyBorder="1"/>
    <xf numFmtId="164" fontId="54" fillId="0" borderId="0" xfId="0" applyNumberFormat="1" applyFont="1"/>
    <xf numFmtId="164" fontId="54" fillId="0" borderId="0" xfId="0" applyNumberFormat="1" applyFont="1" applyBorder="1"/>
    <xf numFmtId="172" fontId="54" fillId="0" borderId="0" xfId="98" applyNumberFormat="1" applyFont="1"/>
    <xf numFmtId="0" fontId="12" fillId="34" borderId="18" xfId="0" applyFont="1" applyFill="1" applyBorder="1" applyAlignment="1"/>
    <xf numFmtId="0" fontId="10" fillId="34" borderId="19" xfId="0" applyFont="1" applyFill="1" applyBorder="1" applyAlignment="1"/>
    <xf numFmtId="164" fontId="9" fillId="34" borderId="1" xfId="0" applyNumberFormat="1" applyFont="1" applyFill="1" applyBorder="1"/>
    <xf numFmtId="172" fontId="12" fillId="34" borderId="7" xfId="98" applyNumberFormat="1" applyFont="1" applyFill="1" applyBorder="1"/>
    <xf numFmtId="164" fontId="66" fillId="0" borderId="0" xfId="48" applyNumberFormat="1" applyFont="1" applyBorder="1"/>
    <xf numFmtId="164" fontId="70" fillId="0" borderId="76" xfId="48" applyNumberFormat="1" applyFont="1" applyBorder="1"/>
    <xf numFmtId="164" fontId="77" fillId="0" borderId="22" xfId="1" applyNumberFormat="1" applyFont="1" applyBorder="1" applyAlignment="1">
      <alignment horizontal="center" vertical="center"/>
    </xf>
    <xf numFmtId="164" fontId="77" fillId="0" borderId="70" xfId="1" applyNumberFormat="1" applyFont="1" applyBorder="1" applyAlignment="1">
      <alignment horizontal="center" vertical="center"/>
    </xf>
    <xf numFmtId="0" fontId="11" fillId="0" borderId="72" xfId="1" applyBorder="1" applyAlignment="1">
      <alignment horizontal="center" vertical="center" wrapText="1"/>
    </xf>
    <xf numFmtId="10" fontId="0" fillId="0" borderId="0" xfId="103" applyNumberFormat="1" applyFont="1"/>
    <xf numFmtId="0" fontId="10" fillId="0" borderId="1" xfId="1" applyFont="1" applyBorder="1" applyAlignment="1">
      <alignment horizontal="justify" vertical="center" wrapText="1"/>
    </xf>
    <xf numFmtId="0" fontId="10" fillId="0" borderId="7" xfId="1" applyFont="1" applyBorder="1" applyAlignment="1">
      <alignment vertical="center" wrapText="1"/>
    </xf>
    <xf numFmtId="6" fontId="11" fillId="0" borderId="17" xfId="1" applyNumberFormat="1" applyFont="1" applyBorder="1" applyAlignment="1">
      <alignment horizontal="right" vertical="center" wrapText="1"/>
    </xf>
    <xf numFmtId="6" fontId="15" fillId="0" borderId="0" xfId="1" applyNumberFormat="1" applyFont="1"/>
    <xf numFmtId="0" fontId="11" fillId="0" borderId="8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164" fontId="69" fillId="0" borderId="55" xfId="87" applyNumberFormat="1" applyFont="1" applyFill="1" applyBorder="1" applyAlignment="1"/>
    <xf numFmtId="164" fontId="69" fillId="0" borderId="51" xfId="87" applyNumberFormat="1" applyFont="1" applyFill="1" applyBorder="1" applyAlignment="1"/>
    <xf numFmtId="164" fontId="69" fillId="0" borderId="57" xfId="87" applyNumberFormat="1" applyFont="1" applyFill="1" applyBorder="1" applyAlignment="1"/>
    <xf numFmtId="164" fontId="69" fillId="0" borderId="56" xfId="87" applyNumberFormat="1" applyFont="1" applyFill="1" applyBorder="1" applyAlignment="1"/>
    <xf numFmtId="164" fontId="69" fillId="0" borderId="22" xfId="87" applyNumberFormat="1" applyFont="1" applyFill="1" applyBorder="1" applyAlignment="1"/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14" fillId="0" borderId="18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13" fillId="27" borderId="18" xfId="0" applyFont="1" applyFill="1" applyBorder="1" applyAlignment="1">
      <alignment horizontal="left"/>
    </xf>
    <xf numFmtId="0" fontId="13" fillId="27" borderId="19" xfId="0" applyFont="1" applyFill="1" applyBorder="1" applyAlignment="1">
      <alignment horizontal="left"/>
    </xf>
    <xf numFmtId="0" fontId="13" fillId="27" borderId="20" xfId="0" applyFont="1" applyFill="1" applyBorder="1" applyAlignment="1">
      <alignment horizontal="left"/>
    </xf>
    <xf numFmtId="0" fontId="14" fillId="0" borderId="9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3" fillId="27" borderId="18" xfId="0" applyFont="1" applyFill="1" applyBorder="1" applyAlignment="1">
      <alignment horizontal="center" wrapText="1"/>
    </xf>
    <xf numFmtId="0" fontId="13" fillId="27" borderId="19" xfId="0" applyFont="1" applyFill="1" applyBorder="1" applyAlignment="1">
      <alignment horizontal="center" wrapText="1"/>
    </xf>
    <xf numFmtId="0" fontId="13" fillId="27" borderId="20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wrapText="1"/>
    </xf>
    <xf numFmtId="0" fontId="14" fillId="0" borderId="14" xfId="0" applyFont="1" applyBorder="1" applyAlignment="1">
      <alignment horizontal="left" wrapText="1"/>
    </xf>
    <xf numFmtId="0" fontId="14" fillId="0" borderId="16" xfId="0" applyFont="1" applyBorder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10" fillId="27" borderId="10" xfId="0" applyFont="1" applyFill="1" applyBorder="1" applyAlignment="1">
      <alignment horizontal="left"/>
    </xf>
    <xf numFmtId="0" fontId="10" fillId="27" borderId="12" xfId="0" applyFont="1" applyFill="1" applyBorder="1" applyAlignment="1">
      <alignment horizontal="left"/>
    </xf>
    <xf numFmtId="0" fontId="10" fillId="27" borderId="16" xfId="0" applyFont="1" applyFill="1" applyBorder="1" applyAlignment="1">
      <alignment horizontal="left"/>
    </xf>
    <xf numFmtId="0" fontId="10" fillId="27" borderId="17" xfId="0" applyFont="1" applyFill="1" applyBorder="1" applyAlignment="1">
      <alignment horizontal="left"/>
    </xf>
    <xf numFmtId="0" fontId="10" fillId="27" borderId="7" xfId="0" applyFont="1" applyFill="1" applyBorder="1" applyAlignment="1">
      <alignment horizontal="left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7" xfId="0" quotePrefix="1" applyFont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18" fillId="0" borderId="15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6" fillId="27" borderId="10" xfId="0" applyFont="1" applyFill="1" applyBorder="1" applyAlignment="1">
      <alignment horizontal="center" wrapText="1"/>
    </xf>
    <xf numFmtId="0" fontId="16" fillId="27" borderId="11" xfId="0" applyFont="1" applyFill="1" applyBorder="1" applyAlignment="1">
      <alignment horizontal="center" wrapText="1"/>
    </xf>
    <xf numFmtId="0" fontId="16" fillId="27" borderId="12" xfId="0" applyFont="1" applyFill="1" applyBorder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left" vertical="center" wrapText="1"/>
    </xf>
    <xf numFmtId="0" fontId="46" fillId="0" borderId="11" xfId="0" applyFont="1" applyFill="1" applyBorder="1" applyAlignment="1">
      <alignment horizontal="left" vertical="center" wrapText="1"/>
    </xf>
    <xf numFmtId="0" fontId="46" fillId="0" borderId="12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46" fillId="0" borderId="10" xfId="0" applyFont="1" applyBorder="1" applyAlignment="1">
      <alignment horizontal="left" wrapText="1"/>
    </xf>
    <xf numFmtId="0" fontId="46" fillId="0" borderId="11" xfId="0" applyFont="1" applyBorder="1" applyAlignment="1">
      <alignment horizontal="left" wrapText="1"/>
    </xf>
    <xf numFmtId="0" fontId="46" fillId="0" borderId="12" xfId="0" applyFont="1" applyBorder="1" applyAlignment="1">
      <alignment horizontal="left" wrapText="1"/>
    </xf>
    <xf numFmtId="49" fontId="26" fillId="0" borderId="16" xfId="0" quotePrefix="1" applyNumberFormat="1" applyFont="1" applyBorder="1" applyAlignment="1">
      <alignment horizontal="center" wrapText="1"/>
    </xf>
    <xf numFmtId="49" fontId="26" fillId="0" borderId="9" xfId="0" quotePrefix="1" applyNumberFormat="1" applyFont="1" applyBorder="1" applyAlignment="1">
      <alignment horizontal="center" wrapText="1"/>
    </xf>
    <xf numFmtId="0" fontId="26" fillId="0" borderId="16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10" fillId="0" borderId="9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0" xfId="80" applyFont="1" applyAlignment="1">
      <alignment horizontal="center"/>
    </xf>
    <xf numFmtId="0" fontId="10" fillId="0" borderId="0" xfId="0" applyFont="1" applyFill="1" applyAlignment="1">
      <alignment horizontal="center"/>
    </xf>
    <xf numFmtId="172" fontId="84" fillId="0" borderId="71" xfId="98" applyNumberFormat="1" applyFont="1" applyBorder="1" applyAlignment="1">
      <alignment horizontal="center" vertical="center"/>
    </xf>
    <xf numFmtId="172" fontId="84" fillId="0" borderId="72" xfId="98" applyNumberFormat="1" applyFont="1" applyBorder="1" applyAlignment="1">
      <alignment horizontal="center" vertical="center"/>
    </xf>
    <xf numFmtId="0" fontId="84" fillId="0" borderId="71" xfId="0" applyFont="1" applyBorder="1" applyAlignment="1">
      <alignment horizontal="center" vertical="center"/>
    </xf>
    <xf numFmtId="0" fontId="84" fillId="0" borderId="72" xfId="0" applyFont="1" applyBorder="1" applyAlignment="1">
      <alignment horizontal="center" vertical="center"/>
    </xf>
    <xf numFmtId="164" fontId="68" fillId="0" borderId="25" xfId="85" applyNumberFormat="1" applyFont="1" applyFill="1" applyBorder="1" applyAlignment="1">
      <alignment horizontal="center" vertical="center"/>
    </xf>
    <xf numFmtId="164" fontId="68" fillId="0" borderId="58" xfId="85" applyNumberFormat="1" applyFont="1" applyFill="1" applyBorder="1" applyAlignment="1">
      <alignment horizontal="center" vertical="center"/>
    </xf>
    <xf numFmtId="164" fontId="68" fillId="0" borderId="34" xfId="85" applyNumberFormat="1" applyFont="1" applyFill="1" applyBorder="1" applyAlignment="1">
      <alignment horizontal="center" vertical="center"/>
    </xf>
    <xf numFmtId="166" fontId="60" fillId="0" borderId="25" xfId="85" applyFont="1" applyFill="1" applyBorder="1" applyAlignment="1">
      <alignment horizontal="center" vertical="center" textRotation="90" wrapText="1"/>
    </xf>
    <xf numFmtId="166" fontId="60" fillId="0" borderId="58" xfId="85" applyFont="1" applyFill="1" applyBorder="1" applyAlignment="1">
      <alignment horizontal="center" vertical="center" textRotation="90" wrapText="1"/>
    </xf>
    <xf numFmtId="166" fontId="60" fillId="0" borderId="34" xfId="85" applyFont="1" applyFill="1" applyBorder="1" applyAlignment="1">
      <alignment horizontal="center" vertical="center" textRotation="90" wrapText="1"/>
    </xf>
    <xf numFmtId="164" fontId="69" fillId="0" borderId="59" xfId="87" applyNumberFormat="1" applyFont="1" applyFill="1" applyBorder="1" applyAlignment="1">
      <alignment horizontal="center" vertical="center" wrapText="1"/>
    </xf>
    <xf numFmtId="164" fontId="69" fillId="0" borderId="57" xfId="87" applyNumberFormat="1" applyFont="1" applyFill="1" applyBorder="1" applyAlignment="1">
      <alignment horizontal="center" vertical="center" wrapText="1"/>
    </xf>
    <xf numFmtId="166" fontId="60" fillId="0" borderId="67" xfId="85" applyFont="1" applyFill="1" applyBorder="1" applyAlignment="1">
      <alignment horizontal="right"/>
    </xf>
    <xf numFmtId="164" fontId="68" fillId="0" borderId="59" xfId="87" applyNumberFormat="1" applyFont="1" applyFill="1" applyBorder="1" applyAlignment="1">
      <alignment horizontal="center" vertical="center" wrapText="1"/>
    </xf>
    <xf numFmtId="164" fontId="68" fillId="0" borderId="57" xfId="87" applyNumberFormat="1" applyFont="1" applyFill="1" applyBorder="1" applyAlignment="1">
      <alignment horizontal="center" vertical="center" wrapText="1"/>
    </xf>
    <xf numFmtId="166" fontId="60" fillId="0" borderId="0" xfId="85" applyFont="1" applyFill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6" fontId="59" fillId="0" borderId="0" xfId="85" applyFont="1" applyFill="1" applyAlignment="1">
      <alignment horizontal="center"/>
    </xf>
    <xf numFmtId="166" fontId="59" fillId="0" borderId="0" xfId="85" applyFont="1" applyFill="1" applyAlignment="1">
      <alignment horizontal="center" wrapText="1"/>
    </xf>
    <xf numFmtId="0" fontId="11" fillId="0" borderId="2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21" fillId="0" borderId="0" xfId="3" applyFont="1" applyAlignment="1">
      <alignment horizontal="center" vertical="center"/>
    </xf>
    <xf numFmtId="166" fontId="41" fillId="0" borderId="0" xfId="85" applyFont="1" applyFill="1" applyAlignment="1">
      <alignment horizontal="center"/>
    </xf>
    <xf numFmtId="0" fontId="97" fillId="0" borderId="0" xfId="1" applyFont="1" applyFill="1" applyBorder="1" applyAlignment="1">
      <alignment horizontal="center" vertical="top" wrapText="1"/>
    </xf>
    <xf numFmtId="0" fontId="66" fillId="34" borderId="60" xfId="48" applyFont="1" applyFill="1" applyBorder="1" applyAlignment="1">
      <alignment horizontal="left"/>
    </xf>
    <xf numFmtId="0" fontId="70" fillId="0" borderId="0" xfId="95" applyFont="1" applyAlignment="1">
      <alignment horizontal="right"/>
    </xf>
    <xf numFmtId="0" fontId="70" fillId="0" borderId="0" xfId="48" applyFont="1" applyAlignment="1">
      <alignment horizontal="center"/>
    </xf>
    <xf numFmtId="0" fontId="66" fillId="0" borderId="0" xfId="48" applyFont="1" applyAlignment="1">
      <alignment horizontal="left" wrapText="1"/>
    </xf>
    <xf numFmtId="0" fontId="66" fillId="0" borderId="25" xfId="48" applyFont="1" applyBorder="1" applyAlignment="1">
      <alignment horizontal="center" vertical="center" wrapText="1"/>
    </xf>
    <xf numFmtId="0" fontId="66" fillId="0" borderId="34" xfId="48" applyFont="1" applyBorder="1" applyAlignment="1">
      <alignment horizontal="center" vertical="center" wrapText="1"/>
    </xf>
    <xf numFmtId="0" fontId="10" fillId="37" borderId="13" xfId="1" applyFont="1" applyFill="1" applyBorder="1" applyAlignment="1">
      <alignment vertical="center" wrapText="1"/>
    </xf>
    <xf numFmtId="0" fontId="10" fillId="37" borderId="7" xfId="1" applyFont="1" applyFill="1" applyBorder="1" applyAlignment="1">
      <alignment vertical="center" wrapText="1"/>
    </xf>
    <xf numFmtId="164" fontId="10" fillId="37" borderId="10" xfId="1" applyNumberFormat="1" applyFont="1" applyFill="1" applyBorder="1" applyAlignment="1">
      <alignment horizontal="center" vertical="center" wrapText="1"/>
    </xf>
    <xf numFmtId="164" fontId="10" fillId="37" borderId="12" xfId="1" applyNumberFormat="1" applyFont="1" applyFill="1" applyBorder="1" applyAlignment="1">
      <alignment horizontal="center" vertical="center" wrapText="1"/>
    </xf>
    <xf numFmtId="164" fontId="10" fillId="37" borderId="16" xfId="1" applyNumberFormat="1" applyFont="1" applyFill="1" applyBorder="1" applyAlignment="1">
      <alignment horizontal="center" vertical="center" wrapText="1"/>
    </xf>
    <xf numFmtId="164" fontId="10" fillId="37" borderId="17" xfId="1" applyNumberFormat="1" applyFont="1" applyFill="1" applyBorder="1" applyAlignment="1">
      <alignment horizontal="center" vertical="center" wrapText="1"/>
    </xf>
    <xf numFmtId="6" fontId="11" fillId="0" borderId="13" xfId="1" applyNumberFormat="1" applyFont="1" applyBorder="1" applyAlignment="1">
      <alignment horizontal="center" vertical="center" wrapText="1"/>
    </xf>
    <xf numFmtId="6" fontId="11" fillId="0" borderId="8" xfId="1" applyNumberFormat="1" applyFont="1" applyBorder="1" applyAlignment="1">
      <alignment horizontal="center" vertical="center" wrapText="1"/>
    </xf>
    <xf numFmtId="6" fontId="11" fillId="0" borderId="7" xfId="1" applyNumberFormat="1" applyFont="1" applyBorder="1" applyAlignment="1">
      <alignment horizontal="center" vertical="center" wrapText="1"/>
    </xf>
    <xf numFmtId="6" fontId="11" fillId="0" borderId="10" xfId="1" applyNumberFormat="1" applyFont="1" applyBorder="1" applyAlignment="1">
      <alignment horizontal="center" vertical="center" wrapText="1"/>
    </xf>
    <xf numFmtId="6" fontId="11" fillId="0" borderId="12" xfId="1" applyNumberFormat="1" applyFont="1" applyBorder="1" applyAlignment="1">
      <alignment horizontal="center" vertical="center" wrapText="1"/>
    </xf>
    <xf numFmtId="6" fontId="11" fillId="0" borderId="18" xfId="1" applyNumberFormat="1" applyFont="1" applyBorder="1" applyAlignment="1">
      <alignment horizontal="center" vertical="center" wrapText="1"/>
    </xf>
    <xf numFmtId="6" fontId="11" fillId="0" borderId="20" xfId="1" applyNumberFormat="1" applyFont="1" applyBorder="1" applyAlignment="1">
      <alignment horizontal="center" vertical="center" wrapText="1"/>
    </xf>
    <xf numFmtId="0" fontId="10" fillId="0" borderId="13" xfId="1" applyFont="1" applyBorder="1" applyAlignment="1">
      <alignment vertical="center" wrapText="1"/>
    </xf>
    <xf numFmtId="0" fontId="10" fillId="0" borderId="7" xfId="1" applyFont="1" applyBorder="1" applyAlignment="1">
      <alignment vertical="center" wrapText="1"/>
    </xf>
    <xf numFmtId="6" fontId="11" fillId="0" borderId="13" xfId="1" applyNumberFormat="1" applyFont="1" applyBorder="1" applyAlignment="1">
      <alignment horizontal="right" vertical="center" wrapText="1"/>
    </xf>
    <xf numFmtId="6" fontId="11" fillId="0" borderId="7" xfId="1" applyNumberFormat="1" applyFont="1" applyBorder="1" applyAlignment="1">
      <alignment horizontal="right" vertical="center" wrapText="1"/>
    </xf>
    <xf numFmtId="0" fontId="11" fillId="0" borderId="70" xfId="1" applyBorder="1" applyAlignment="1">
      <alignment horizontal="center" vertical="center" wrapText="1"/>
    </xf>
    <xf numFmtId="0" fontId="11" fillId="0" borderId="71" xfId="1" applyBorder="1" applyAlignment="1">
      <alignment horizontal="center" vertical="center" wrapText="1"/>
    </xf>
    <xf numFmtId="0" fontId="11" fillId="0" borderId="73" xfId="1" applyBorder="1" applyAlignment="1">
      <alignment horizontal="center" vertical="center" wrapText="1"/>
    </xf>
    <xf numFmtId="0" fontId="11" fillId="0" borderId="72" xfId="1" applyBorder="1" applyAlignment="1">
      <alignment horizontal="center" vertical="center" wrapText="1"/>
    </xf>
    <xf numFmtId="164" fontId="11" fillId="0" borderId="13" xfId="1" applyNumberFormat="1" applyFont="1" applyBorder="1" applyAlignment="1">
      <alignment horizontal="right" vertical="center" wrapText="1"/>
    </xf>
    <xf numFmtId="164" fontId="11" fillId="0" borderId="7" xfId="1" applyNumberFormat="1" applyFont="1" applyBorder="1" applyAlignment="1">
      <alignment horizontal="right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2" xfId="1" applyBorder="1" applyAlignment="1">
      <alignment horizontal="center" vertical="center" wrapText="1"/>
    </xf>
    <xf numFmtId="0" fontId="11" fillId="0" borderId="70" xfId="1" applyFont="1" applyBorder="1" applyAlignment="1">
      <alignment horizontal="center" wrapText="1"/>
    </xf>
    <xf numFmtId="0" fontId="11" fillId="0" borderId="70" xfId="1" applyBorder="1" applyAlignment="1">
      <alignment horizontal="center" wrapText="1"/>
    </xf>
    <xf numFmtId="0" fontId="11" fillId="0" borderId="23" xfId="1" applyBorder="1" applyAlignment="1">
      <alignment horizontal="center" vertical="center" wrapText="1"/>
    </xf>
    <xf numFmtId="0" fontId="11" fillId="0" borderId="24" xfId="1" applyBorder="1" applyAlignment="1">
      <alignment horizontal="center" vertical="center" wrapText="1"/>
    </xf>
    <xf numFmtId="0" fontId="10" fillId="0" borderId="8" xfId="1" applyFont="1" applyBorder="1" applyAlignment="1">
      <alignment vertical="center" wrapText="1"/>
    </xf>
    <xf numFmtId="166" fontId="59" fillId="2" borderId="0" xfId="85" applyFont="1" applyFill="1" applyAlignment="1">
      <alignment horizontal="center"/>
    </xf>
    <xf numFmtId="0" fontId="87" fillId="2" borderId="0" xfId="1" applyFont="1" applyFill="1" applyAlignment="1">
      <alignment horizontal="center" wrapText="1"/>
    </xf>
    <xf numFmtId="0" fontId="48" fillId="2" borderId="0" xfId="99" applyFont="1" applyFill="1" applyAlignment="1">
      <alignment horizontal="center" wrapText="1"/>
    </xf>
    <xf numFmtId="0" fontId="48" fillId="2" borderId="0" xfId="99" applyFont="1" applyFill="1" applyAlignment="1">
      <alignment horizontal="center"/>
    </xf>
    <xf numFmtId="0" fontId="48" fillId="0" borderId="70" xfId="99" applyFont="1" applyBorder="1" applyAlignment="1">
      <alignment horizontal="left"/>
    </xf>
    <xf numFmtId="0" fontId="11" fillId="0" borderId="70" xfId="1" applyBorder="1" applyAlignment="1">
      <alignment horizontal="center" vertical="center" textRotation="90"/>
    </xf>
    <xf numFmtId="0" fontId="48" fillId="0" borderId="70" xfId="99" applyFont="1" applyBorder="1" applyAlignment="1">
      <alignment horizontal="left" wrapText="1"/>
    </xf>
    <xf numFmtId="0" fontId="48" fillId="0" borderId="70" xfId="99" applyFont="1" applyBorder="1" applyAlignment="1">
      <alignment horizontal="left" vertical="center" wrapText="1"/>
    </xf>
    <xf numFmtId="0" fontId="48" fillId="0" borderId="70" xfId="99" applyFont="1" applyFill="1" applyBorder="1" applyAlignment="1">
      <alignment horizontal="left" vertical="center" wrapText="1"/>
    </xf>
    <xf numFmtId="0" fontId="48" fillId="0" borderId="70" xfId="99" applyFont="1" applyFill="1" applyBorder="1" applyAlignment="1">
      <alignment horizontal="center" vertical="center" wrapText="1"/>
    </xf>
    <xf numFmtId="0" fontId="48" fillId="0" borderId="74" xfId="99" applyFont="1" applyBorder="1" applyAlignment="1">
      <alignment horizontal="left" vertical="center" wrapText="1"/>
    </xf>
    <xf numFmtId="0" fontId="48" fillId="0" borderId="75" xfId="99" applyFont="1" applyBorder="1" applyAlignment="1">
      <alignment horizontal="left" vertical="center" wrapText="1"/>
    </xf>
    <xf numFmtId="0" fontId="87" fillId="0" borderId="25" xfId="1" applyFont="1" applyBorder="1" applyAlignment="1">
      <alignment horizontal="left"/>
    </xf>
    <xf numFmtId="0" fontId="87" fillId="0" borderId="18" xfId="1" applyFont="1" applyBorder="1" applyAlignment="1">
      <alignment horizontal="left" wrapText="1"/>
    </xf>
    <xf numFmtId="0" fontId="87" fillId="0" borderId="20" xfId="1" applyFont="1" applyBorder="1" applyAlignment="1">
      <alignment horizontal="left" wrapText="1"/>
    </xf>
    <xf numFmtId="0" fontId="9" fillId="0" borderId="0" xfId="3" applyFont="1" applyAlignment="1">
      <alignment horizontal="center" vertical="center"/>
    </xf>
    <xf numFmtId="0" fontId="53" fillId="0" borderId="22" xfId="48" applyFont="1" applyBorder="1" applyAlignment="1">
      <alignment horizontal="left"/>
    </xf>
    <xf numFmtId="0" fontId="53" fillId="0" borderId="22" xfId="48" applyFont="1" applyFill="1" applyBorder="1" applyAlignment="1">
      <alignment horizontal="left"/>
    </xf>
    <xf numFmtId="0" fontId="53" fillId="0" borderId="23" xfId="48" applyFont="1" applyBorder="1" applyAlignment="1">
      <alignment horizontal="left"/>
    </xf>
    <xf numFmtId="0" fontId="53" fillId="0" borderId="32" xfId="48" applyFont="1" applyBorder="1" applyAlignment="1">
      <alignment horizontal="left"/>
    </xf>
    <xf numFmtId="0" fontId="53" fillId="0" borderId="24" xfId="48" applyFont="1" applyBorder="1" applyAlignment="1">
      <alignment horizontal="left"/>
    </xf>
    <xf numFmtId="0" fontId="50" fillId="0" borderId="23" xfId="48" applyFont="1" applyBorder="1" applyAlignment="1">
      <alignment horizontal="left" wrapText="1"/>
    </xf>
    <xf numFmtId="0" fontId="50" fillId="0" borderId="32" xfId="48" applyFont="1" applyBorder="1" applyAlignment="1">
      <alignment horizontal="left" wrapText="1"/>
    </xf>
    <xf numFmtId="0" fontId="50" fillId="0" borderId="24" xfId="48" applyFont="1" applyBorder="1" applyAlignment="1">
      <alignment horizontal="left" wrapText="1"/>
    </xf>
    <xf numFmtId="0" fontId="50" fillId="0" borderId="22" xfId="48" applyFont="1" applyFill="1" applyBorder="1" applyAlignment="1">
      <alignment horizontal="left"/>
    </xf>
    <xf numFmtId="0" fontId="53" fillId="0" borderId="22" xfId="48" applyFont="1" applyBorder="1" applyAlignment="1">
      <alignment horizontal="left" wrapText="1"/>
    </xf>
    <xf numFmtId="0" fontId="50" fillId="0" borderId="23" xfId="48" applyFont="1" applyBorder="1" applyAlignment="1">
      <alignment horizontal="left"/>
    </xf>
    <xf numFmtId="0" fontId="50" fillId="0" borderId="24" xfId="48" applyFont="1" applyBorder="1" applyAlignment="1">
      <alignment horizontal="left"/>
    </xf>
    <xf numFmtId="0" fontId="47" fillId="0" borderId="22" xfId="48" applyFont="1" applyBorder="1" applyAlignment="1">
      <alignment horizontal="left" wrapText="1"/>
    </xf>
    <xf numFmtId="0" fontId="11" fillId="0" borderId="22" xfId="48" applyBorder="1" applyAlignment="1">
      <alignment horizontal="left"/>
    </xf>
    <xf numFmtId="0" fontId="50" fillId="0" borderId="22" xfId="48" applyFont="1" applyBorder="1" applyAlignment="1">
      <alignment horizontal="left"/>
    </xf>
    <xf numFmtId="0" fontId="50" fillId="0" borderId="22" xfId="48" applyFont="1" applyBorder="1" applyAlignment="1">
      <alignment horizontal="left" wrapText="1"/>
    </xf>
    <xf numFmtId="0" fontId="52" fillId="0" borderId="22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17" fillId="0" borderId="22" xfId="48" applyFont="1" applyBorder="1" applyAlignment="1">
      <alignment horizontal="left"/>
    </xf>
    <xf numFmtId="0" fontId="17" fillId="0" borderId="23" xfId="48" applyFont="1" applyBorder="1" applyAlignment="1">
      <alignment horizontal="left"/>
    </xf>
    <xf numFmtId="0" fontId="17" fillId="0" borderId="24" xfId="48" applyFont="1" applyBorder="1" applyAlignment="1">
      <alignment horizontal="left"/>
    </xf>
    <xf numFmtId="0" fontId="72" fillId="0" borderId="22" xfId="48" applyFont="1" applyBorder="1" applyAlignment="1">
      <alignment horizontal="left"/>
    </xf>
    <xf numFmtId="0" fontId="11" fillId="0" borderId="22" xfId="48" applyFill="1" applyBorder="1" applyAlignment="1">
      <alignment horizontal="left"/>
    </xf>
    <xf numFmtId="0" fontId="51" fillId="0" borderId="23" xfId="48" applyFont="1" applyBorder="1" applyAlignment="1">
      <alignment horizontal="left" wrapText="1"/>
    </xf>
    <xf numFmtId="0" fontId="51" fillId="0" borderId="32" xfId="48" applyFont="1" applyBorder="1" applyAlignment="1">
      <alignment horizontal="left" wrapText="1"/>
    </xf>
    <xf numFmtId="0" fontId="51" fillId="0" borderId="24" xfId="48" applyFont="1" applyBorder="1" applyAlignment="1">
      <alignment horizontal="left" wrapText="1"/>
    </xf>
    <xf numFmtId="0" fontId="11" fillId="0" borderId="23" xfId="48" applyBorder="1" applyAlignment="1">
      <alignment horizontal="left"/>
    </xf>
    <xf numFmtId="0" fontId="11" fillId="0" borderId="24" xfId="48" applyBorder="1" applyAlignment="1">
      <alignment horizontal="left"/>
    </xf>
    <xf numFmtId="0" fontId="50" fillId="0" borderId="22" xfId="0" applyFont="1" applyBorder="1" applyAlignment="1">
      <alignment horizontal="left"/>
    </xf>
    <xf numFmtId="164" fontId="11" fillId="0" borderId="23" xfId="0" applyNumberFormat="1" applyFont="1" applyBorder="1" applyAlignment="1">
      <alignment horizontal="left"/>
    </xf>
    <xf numFmtId="164" fontId="11" fillId="0" borderId="32" xfId="0" applyNumberFormat="1" applyFont="1" applyBorder="1" applyAlignment="1">
      <alignment horizontal="left"/>
    </xf>
    <xf numFmtId="164" fontId="11" fillId="0" borderId="24" xfId="0" applyNumberFormat="1" applyFont="1" applyBorder="1" applyAlignment="1">
      <alignment horizontal="left"/>
    </xf>
    <xf numFmtId="0" fontId="11" fillId="0" borderId="0" xfId="48" applyFont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25" fillId="0" borderId="0" xfId="63" applyFont="1" applyAlignment="1">
      <alignment horizontal="left" wrapText="1"/>
    </xf>
    <xf numFmtId="0" fontId="18" fillId="0" borderId="22" xfId="48" applyFont="1" applyBorder="1" applyAlignment="1">
      <alignment horizontal="center" vertical="center" wrapText="1"/>
    </xf>
    <xf numFmtId="0" fontId="70" fillId="30" borderId="22" xfId="48" applyFont="1" applyFill="1" applyBorder="1" applyAlignment="1">
      <alignment horizontal="center" vertical="center" wrapText="1"/>
    </xf>
    <xf numFmtId="0" fontId="66" fillId="31" borderId="22" xfId="48" applyFont="1" applyFill="1" applyBorder="1" applyAlignment="1">
      <alignment horizontal="center" vertical="center" wrapText="1"/>
    </xf>
    <xf numFmtId="0" fontId="66" fillId="0" borderId="22" xfId="48" applyFont="1" applyBorder="1" applyAlignment="1">
      <alignment horizontal="center" vertical="center" wrapText="1"/>
    </xf>
    <xf numFmtId="166" fontId="59" fillId="0" borderId="54" xfId="85" applyFont="1" applyFill="1" applyBorder="1" applyAlignment="1">
      <alignment horizontal="center" vertical="center" wrapText="1"/>
    </xf>
    <xf numFmtId="166" fontId="100" fillId="0" borderId="53" xfId="85" applyFont="1" applyFill="1" applyBorder="1" applyAlignment="1">
      <alignment horizontal="center" vertical="center" wrapText="1"/>
    </xf>
    <xf numFmtId="172" fontId="74" fillId="0" borderId="0" xfId="98" applyNumberFormat="1" applyFont="1"/>
    <xf numFmtId="6" fontId="74" fillId="0" borderId="0" xfId="1" applyNumberFormat="1" applyFont="1"/>
    <xf numFmtId="0" fontId="89" fillId="0" borderId="0" xfId="48" applyFont="1" applyBorder="1"/>
    <xf numFmtId="0" fontId="18" fillId="0" borderId="0" xfId="48" applyFont="1" applyBorder="1"/>
    <xf numFmtId="0" fontId="18" fillId="0" borderId="0" xfId="95" applyFont="1" applyBorder="1"/>
    <xf numFmtId="0" fontId="89" fillId="0" borderId="0" xfId="48" applyFont="1" applyBorder="1" applyAlignment="1">
      <alignment horizontal="center"/>
    </xf>
    <xf numFmtId="0" fontId="89" fillId="0" borderId="0" xfId="95" applyFont="1" applyBorder="1" applyAlignment="1">
      <alignment horizontal="center"/>
    </xf>
    <xf numFmtId="164" fontId="18" fillId="0" borderId="0" xfId="48" applyNumberFormat="1" applyFont="1" applyBorder="1"/>
    <xf numFmtId="164" fontId="18" fillId="0" borderId="0" xfId="95" applyNumberFormat="1" applyFont="1" applyBorder="1"/>
    <xf numFmtId="164" fontId="89" fillId="0" borderId="0" xfId="48" applyNumberFormat="1" applyFont="1" applyBorder="1"/>
    <xf numFmtId="164" fontId="89" fillId="0" borderId="0" xfId="95" applyNumberFormat="1" applyFont="1" applyBorder="1"/>
    <xf numFmtId="0" fontId="10" fillId="0" borderId="20" xfId="1" applyFont="1" applyBorder="1" applyAlignment="1">
      <alignment horizontal="center" vertical="center" wrapText="1"/>
    </xf>
    <xf numFmtId="172" fontId="54" fillId="0" borderId="0" xfId="98" applyNumberFormat="1" applyFont="1" applyFill="1"/>
    <xf numFmtId="172" fontId="54" fillId="0" borderId="0" xfId="1" applyNumberFormat="1" applyFont="1" applyFill="1"/>
    <xf numFmtId="172" fontId="74" fillId="0" borderId="0" xfId="98" applyNumberFormat="1" applyFont="1" applyFill="1"/>
    <xf numFmtId="172" fontId="74" fillId="0" borderId="0" xfId="1" applyNumberFormat="1" applyFont="1" applyFill="1"/>
  </cellXfs>
  <cellStyles count="104">
    <cellStyle name="20% - 1. jelölőszín 2" xfId="6" xr:uid="{00000000-0005-0000-0000-000000000000}"/>
    <cellStyle name="20% - 2. jelölőszín 2" xfId="7" xr:uid="{00000000-0005-0000-0000-000001000000}"/>
    <cellStyle name="20% - 3. jelölőszín 2" xfId="8" xr:uid="{00000000-0005-0000-0000-000002000000}"/>
    <cellStyle name="20% - 4. jelölőszín 2" xfId="9" xr:uid="{00000000-0005-0000-0000-000003000000}"/>
    <cellStyle name="20% - 5. jelölőszín 2" xfId="10" xr:uid="{00000000-0005-0000-0000-000004000000}"/>
    <cellStyle name="20% - 6. jelölőszín 2" xfId="11" xr:uid="{00000000-0005-0000-0000-000005000000}"/>
    <cellStyle name="40% - 1. jelölőszín 2" xfId="12" xr:uid="{00000000-0005-0000-0000-000006000000}"/>
    <cellStyle name="40% - 2. jelölőszín 2" xfId="13" xr:uid="{00000000-0005-0000-0000-000007000000}"/>
    <cellStyle name="40% - 3. jelölőszín 2" xfId="14" xr:uid="{00000000-0005-0000-0000-000008000000}"/>
    <cellStyle name="40% - 4. jelölőszín 2" xfId="15" xr:uid="{00000000-0005-0000-0000-000009000000}"/>
    <cellStyle name="40% - 5. jelölőszín 2" xfId="16" xr:uid="{00000000-0005-0000-0000-00000A000000}"/>
    <cellStyle name="40% - 6. jelölőszín 2" xfId="17" xr:uid="{00000000-0005-0000-0000-00000B000000}"/>
    <cellStyle name="60% - 1. jelölőszín 2" xfId="18" xr:uid="{00000000-0005-0000-0000-00000C000000}"/>
    <cellStyle name="60% - 2. jelölőszín 2" xfId="19" xr:uid="{00000000-0005-0000-0000-00000D000000}"/>
    <cellStyle name="60% - 3. jelölőszín 2" xfId="20" xr:uid="{00000000-0005-0000-0000-00000E000000}"/>
    <cellStyle name="60% - 4. jelölőszín 2" xfId="21" xr:uid="{00000000-0005-0000-0000-00000F000000}"/>
    <cellStyle name="60% - 5. jelölőszín 2" xfId="22" xr:uid="{00000000-0005-0000-0000-000010000000}"/>
    <cellStyle name="60% - 6. jelölőszín 2" xfId="23" xr:uid="{00000000-0005-0000-0000-000011000000}"/>
    <cellStyle name="Bevitel 2" xfId="24" xr:uid="{00000000-0005-0000-0000-000012000000}"/>
    <cellStyle name="Cím 2" xfId="25" xr:uid="{00000000-0005-0000-0000-000013000000}"/>
    <cellStyle name="Címsor 1 2" xfId="26" xr:uid="{00000000-0005-0000-0000-000014000000}"/>
    <cellStyle name="Címsor 2 2" xfId="27" xr:uid="{00000000-0005-0000-0000-000015000000}"/>
    <cellStyle name="Címsor 3 2" xfId="28" xr:uid="{00000000-0005-0000-0000-000016000000}"/>
    <cellStyle name="Címsor 4 2" xfId="29" xr:uid="{00000000-0005-0000-0000-000017000000}"/>
    <cellStyle name="Ellenőrzőcella 2" xfId="30" xr:uid="{00000000-0005-0000-0000-000018000000}"/>
    <cellStyle name="Excel Built-in Comma" xfId="87" xr:uid="{BD36B8FA-B13F-450D-BFF4-6B75D737BB1D}"/>
    <cellStyle name="Excel Built-in Normal" xfId="85" xr:uid="{205BAB6D-6796-4518-88B7-3F8ABBFD5949}"/>
    <cellStyle name="Ezres" xfId="47" builtinId="3"/>
    <cellStyle name="Ezres 10" xfId="96" xr:uid="{258F460C-C6F9-410F-AFD3-C5B48D89C8D5}"/>
    <cellStyle name="Ezres 2" xfId="5" xr:uid="{00000000-0005-0000-0000-00001A000000}"/>
    <cellStyle name="Ezres 2 2" xfId="49" xr:uid="{00000000-0005-0000-0000-00001B000000}"/>
    <cellStyle name="Ezres 2 2 2" xfId="70" xr:uid="{00000000-0005-0000-0000-00001C000000}"/>
    <cellStyle name="Ezres 2 3" xfId="68" xr:uid="{00000000-0005-0000-0000-00001D000000}"/>
    <cellStyle name="Ezres 2 4" xfId="91" xr:uid="{424BD156-3764-47CA-8F4D-285FE87CADFC}"/>
    <cellStyle name="Ezres 3" xfId="51" xr:uid="{00000000-0005-0000-0000-00001E000000}"/>
    <cellStyle name="Ezres 3 2" xfId="71" xr:uid="{00000000-0005-0000-0000-00001F000000}"/>
    <cellStyle name="Ezres 4" xfId="53" xr:uid="{00000000-0005-0000-0000-000020000000}"/>
    <cellStyle name="Ezres 4 2" xfId="72" xr:uid="{00000000-0005-0000-0000-000021000000}"/>
    <cellStyle name="Ezres 5" xfId="56" xr:uid="{00000000-0005-0000-0000-000022000000}"/>
    <cellStyle name="Ezres 5 2" xfId="73" xr:uid="{00000000-0005-0000-0000-000023000000}"/>
    <cellStyle name="Ezres 5 3" xfId="97" xr:uid="{45A191B2-56C4-4928-A079-456469F26125}"/>
    <cellStyle name="Ezres 6" xfId="57" xr:uid="{00000000-0005-0000-0000-000024000000}"/>
    <cellStyle name="Ezres 6 2" xfId="74" xr:uid="{00000000-0005-0000-0000-000025000000}"/>
    <cellStyle name="Ezres 7" xfId="64" xr:uid="{00000000-0005-0000-0000-000026000000}"/>
    <cellStyle name="Ezres 7 2" xfId="79" xr:uid="{00000000-0005-0000-0000-000027000000}"/>
    <cellStyle name="Ezres 7 3" xfId="81" xr:uid="{00000000-0005-0000-0000-000028000000}"/>
    <cellStyle name="Ezres 8" xfId="69" xr:uid="{00000000-0005-0000-0000-000029000000}"/>
    <cellStyle name="Ezres 9" xfId="90" xr:uid="{B5766B81-EF7A-42E2-BF24-E5265AB2E529}"/>
    <cellStyle name="Figyelmeztetés 2" xfId="31" xr:uid="{00000000-0005-0000-0000-00002A000000}"/>
    <cellStyle name="Hivatkozott cella 2" xfId="32" xr:uid="{00000000-0005-0000-0000-00002B000000}"/>
    <cellStyle name="Jegyzet 2" xfId="33" xr:uid="{00000000-0005-0000-0000-00002C000000}"/>
    <cellStyle name="Jelölőszín (1) 2" xfId="34" xr:uid="{00000000-0005-0000-0000-00002D000000}"/>
    <cellStyle name="Jelölőszín (2) 2" xfId="35" xr:uid="{00000000-0005-0000-0000-00002E000000}"/>
    <cellStyle name="Jelölőszín (3) 2" xfId="36" xr:uid="{00000000-0005-0000-0000-00002F000000}"/>
    <cellStyle name="Jelölőszín (4) 2" xfId="37" xr:uid="{00000000-0005-0000-0000-000030000000}"/>
    <cellStyle name="Jelölőszín (5) 2" xfId="38" xr:uid="{00000000-0005-0000-0000-000031000000}"/>
    <cellStyle name="Jelölőszín (6) 2" xfId="39" xr:uid="{00000000-0005-0000-0000-000032000000}"/>
    <cellStyle name="Jó 2" xfId="40" xr:uid="{00000000-0005-0000-0000-000033000000}"/>
    <cellStyle name="Kimenet 2" xfId="41" xr:uid="{00000000-0005-0000-0000-000034000000}"/>
    <cellStyle name="Magyarázó szöveg 2" xfId="42" xr:uid="{00000000-0005-0000-0000-000035000000}"/>
    <cellStyle name="Normál" xfId="0" builtinId="0"/>
    <cellStyle name="Normál 10" xfId="63" xr:uid="{00000000-0005-0000-0000-000037000000}"/>
    <cellStyle name="Normál 11" xfId="67" xr:uid="{00000000-0005-0000-0000-000038000000}"/>
    <cellStyle name="Normál 12" xfId="66" xr:uid="{00000000-0005-0000-0000-000039000000}"/>
    <cellStyle name="Normál 13" xfId="82" xr:uid="{00000000-0005-0000-0000-00003A000000}"/>
    <cellStyle name="Normál 14" xfId="86" xr:uid="{51533ACC-6C2C-478D-B783-5157B06C4EEF}"/>
    <cellStyle name="Normál 15" xfId="89" xr:uid="{9D5FBC80-7480-46F3-842D-BFF57CAEFC31}"/>
    <cellStyle name="Normál 15 2" xfId="95" xr:uid="{07D96548-562F-4F25-BA35-5F1E2C86BA1F}"/>
    <cellStyle name="Normál 16" xfId="92" xr:uid="{00000000-0005-0000-0000-000089000000}"/>
    <cellStyle name="Normál 17" xfId="102" xr:uid="{B8FE32AC-B261-4CD5-A5D8-DFB21E3BC846}"/>
    <cellStyle name="Normál 2" xfId="1" xr:uid="{00000000-0005-0000-0000-00003B000000}"/>
    <cellStyle name="Normál 2 2" xfId="65" xr:uid="{00000000-0005-0000-0000-00003C000000}"/>
    <cellStyle name="Normál 2 2 2 2" xfId="94" xr:uid="{38AD6A30-6B96-42F3-82D5-BAC3BECB580F}"/>
    <cellStyle name="Normál 3" xfId="2" xr:uid="{00000000-0005-0000-0000-00003D000000}"/>
    <cellStyle name="Normál 3 2" xfId="50" xr:uid="{00000000-0005-0000-0000-00003E000000}"/>
    <cellStyle name="Normál 3 2 2" xfId="80" xr:uid="{00000000-0005-0000-0000-00003F000000}"/>
    <cellStyle name="Normál 3 2 2 2" xfId="93" xr:uid="{FC26B0E9-8147-4E6F-AA9D-2D8032BDAAE2}"/>
    <cellStyle name="Normál 4" xfId="48" xr:uid="{00000000-0005-0000-0000-000040000000}"/>
    <cellStyle name="Normál 4 2" xfId="58" xr:uid="{00000000-0005-0000-0000-000041000000}"/>
    <cellStyle name="Normál 4 2 2" xfId="75" xr:uid="{00000000-0005-0000-0000-000042000000}"/>
    <cellStyle name="Normál 5" xfId="54" xr:uid="{00000000-0005-0000-0000-000043000000}"/>
    <cellStyle name="Normál 6" xfId="55" xr:uid="{00000000-0005-0000-0000-000044000000}"/>
    <cellStyle name="Normál 6 2" xfId="59" xr:uid="{00000000-0005-0000-0000-000045000000}"/>
    <cellStyle name="Normál 7" xfId="60" xr:uid="{00000000-0005-0000-0000-000046000000}"/>
    <cellStyle name="Normál 7 2" xfId="76" xr:uid="{00000000-0005-0000-0000-000047000000}"/>
    <cellStyle name="Normál 7 2 2" xfId="99" xr:uid="{B09635E0-4C1C-4EEC-8F95-5A9688BC6281}"/>
    <cellStyle name="Normál 8" xfId="61" xr:uid="{00000000-0005-0000-0000-000048000000}"/>
    <cellStyle name="Normál 8 2" xfId="101" xr:uid="{8AAC2315-9BED-4464-AC3D-110BA42397AD}"/>
    <cellStyle name="Normál 9" xfId="62" xr:uid="{00000000-0005-0000-0000-000049000000}"/>
    <cellStyle name="Normál 9 2" xfId="77" xr:uid="{00000000-0005-0000-0000-00004A000000}"/>
    <cellStyle name="Normál 9 3" xfId="84" xr:uid="{00000000-0005-0000-0000-00004B000000}"/>
    <cellStyle name="Normál_Hitel 2007" xfId="4" xr:uid="{00000000-0005-0000-0000-00004C000000}"/>
    <cellStyle name="Normál_Hitel2004" xfId="3" xr:uid="{00000000-0005-0000-0000-00004D000000}"/>
    <cellStyle name="Normal_KARSZJ3" xfId="52" xr:uid="{00000000-0005-0000-0000-00004E000000}"/>
    <cellStyle name="Összesen 2" xfId="43" xr:uid="{00000000-0005-0000-0000-00004F000000}"/>
    <cellStyle name="Pénznem" xfId="98" builtinId="4"/>
    <cellStyle name="Pénznem 2" xfId="100" xr:uid="{EB4AF5A1-B0CE-4DCD-A6AA-364E2B40A447}"/>
    <cellStyle name="Rossz 2" xfId="44" xr:uid="{00000000-0005-0000-0000-000050000000}"/>
    <cellStyle name="Semleges 2" xfId="45" xr:uid="{00000000-0005-0000-0000-000051000000}"/>
    <cellStyle name="Számítás 2" xfId="46" xr:uid="{00000000-0005-0000-0000-000052000000}"/>
    <cellStyle name="Százalék" xfId="103" builtinId="5"/>
    <cellStyle name="Százalék 2" xfId="78" xr:uid="{00000000-0005-0000-0000-000054000000}"/>
    <cellStyle name="Százalék 3" xfId="83" xr:uid="{00000000-0005-0000-0000-000055000000}"/>
    <cellStyle name="Százalék 4" xfId="88" xr:uid="{1634422F-0B5D-4C10-B593-7EFCBE85B5FB}"/>
  </cellStyles>
  <dxfs count="0"/>
  <tableStyles count="0" defaultTableStyle="TableStyleMedium2" defaultPivotStyle="PivotStyleLight16"/>
  <colors>
    <mruColors>
      <color rgb="FFFF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egyzok/Szab&#243;n&#233;%20Moln&#225;r%20Ildik&#243;/2023/2024/tervek%20fel&#252;lvizsg&#225;lata/T&#233;rs&#233;gi%20T&#225;rsul&#225;s/M&#225;solat%20-%20KESZI%20CSGYK%202024.%20&#233;vi%20k&#246;lts&#233;gvet&#233;s%202024.01.09!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1\Tervez&#233;s\T&#225;rsul&#225;s\T&#233;rs&#233;gi%20T&#225;rsul&#225;s%202021.%20&#233;vi%20k&#246;lts&#233;gvet&#233;se%205.%20verzi&#24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3.%20&#233;vi%20tervez&#233;s\T&#233;rs&#233;gi%20T&#225;rsul&#225;s\KESZI%20CSGYK%20koncepci&#243;%20egyszer%20k&#233;thetivel%20cs&#246;kkentett_202301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24"/>
      <sheetName val="CSGYK bérterv. "/>
      <sheetName val="CSGYK Jub.jutalom és felm. bér"/>
      <sheetName val="CSGYK Engedélyezett létszám"/>
      <sheetName val="CSGYK Maradvány terhére beruh."/>
      <sheetName val="KESZI 2024"/>
      <sheetName val="KESZI bérterv. "/>
      <sheetName val="KESZI Jubileumi jut., felment.b"/>
      <sheetName val="KESZI Engedélyezett létszám"/>
      <sheetName val="Állami támogatások  (2)"/>
      <sheetName val="Állami támogatások "/>
      <sheetName val="2023-2024 tagdíj"/>
      <sheetName val="Munka1"/>
      <sheetName val="Munka2"/>
      <sheetName val="KESZI Maradvány terhére beruh."/>
    </sheetNames>
    <sheetDataSet>
      <sheetData sheetId="0">
        <row r="6">
          <cell r="I6">
            <v>850000</v>
          </cell>
        </row>
        <row r="21">
          <cell r="I21">
            <v>14200000</v>
          </cell>
        </row>
        <row r="53">
          <cell r="I53">
            <v>37125600</v>
          </cell>
        </row>
        <row r="54">
          <cell r="I54">
            <v>4824005</v>
          </cell>
        </row>
        <row r="58">
          <cell r="I58">
            <v>84434939.663794652</v>
          </cell>
        </row>
      </sheetData>
      <sheetData sheetId="1">
        <row r="24">
          <cell r="F24">
            <v>352586000</v>
          </cell>
        </row>
        <row r="84">
          <cell r="F84">
            <v>458666969</v>
          </cell>
        </row>
        <row r="118">
          <cell r="F118">
            <v>4824005</v>
          </cell>
        </row>
      </sheetData>
      <sheetData sheetId="2"/>
      <sheetData sheetId="3"/>
      <sheetData sheetId="4"/>
      <sheetData sheetId="5"/>
      <sheetData sheetId="6">
        <row r="24">
          <cell r="G24">
            <v>860539000</v>
          </cell>
        </row>
        <row r="85">
          <cell r="G85">
            <v>1640962143</v>
          </cell>
        </row>
        <row r="140">
          <cell r="G140">
            <v>37125600</v>
          </cell>
        </row>
      </sheetData>
      <sheetData sheetId="7"/>
      <sheetData sheetId="8"/>
      <sheetData sheetId="9"/>
      <sheetData sheetId="10">
        <row r="5">
          <cell r="E5">
            <v>194258330</v>
          </cell>
        </row>
        <row r="10">
          <cell r="E10">
            <v>15415560</v>
          </cell>
        </row>
        <row r="12">
          <cell r="E12">
            <v>5668578</v>
          </cell>
        </row>
        <row r="13">
          <cell r="E13">
            <v>13366900</v>
          </cell>
        </row>
        <row r="14">
          <cell r="E14">
            <v>231964800</v>
          </cell>
        </row>
        <row r="16">
          <cell r="E16">
            <v>47808256</v>
          </cell>
        </row>
      </sheetData>
      <sheetData sheetId="11"/>
      <sheetData sheetId="12">
        <row r="12">
          <cell r="E12">
            <v>8627580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hasonlítás"/>
      <sheetName val="Társulás"/>
      <sheetName val="CSGYK 2020.12.15"/>
      <sheetName val="CSGYK bértervezet"/>
      <sheetName val="CSGYK Jub.jutalom és felm. bér"/>
      <sheetName val="Maradvány terhére beruházások"/>
      <sheetName val="Igénybevétel"/>
      <sheetName val="Engedélyezett létszám"/>
      <sheetName val="KESZI 2020.12.15"/>
      <sheetName val="KESZI bértervezet"/>
      <sheetName val="KESZI Jub.jutalom és felm. bér"/>
      <sheetName val="Maradvány terhére beruházás (2"/>
      <sheetName val="Igénybevétel (2)"/>
      <sheetName val="Engedélyezett létszám (2)"/>
      <sheetName val="2021 tagdíj"/>
      <sheetName val="Elnöknek"/>
      <sheetName val="2020 tagdíj"/>
    </sheetNames>
    <sheetDataSet>
      <sheetData sheetId="0" refreshError="1"/>
      <sheetData sheetId="1" refreshError="1">
        <row r="19">
          <cell r="G19">
            <v>500000</v>
          </cell>
        </row>
        <row r="41">
          <cell r="G41">
            <v>3600000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 (2)"/>
      <sheetName val="CSGYK 2023"/>
      <sheetName val="CSGYK bérterv. "/>
      <sheetName val="CSGYK Jub.jutalom és felm. bér"/>
      <sheetName val="CSGYK Engedélyezett létszám"/>
      <sheetName val="CSGYK Maradvány terhére beruh."/>
      <sheetName val="KESZI 2023"/>
      <sheetName val="KESZI bérterv. "/>
      <sheetName val="KESZI Jubileumi jut., felment.b"/>
      <sheetName val="KESZI Engedélyezett létszám"/>
      <sheetName val="KESZI Maradvány terhére beruh."/>
      <sheetName val="2023 tagdíj"/>
      <sheetName val="2023 tagdíj (2)"/>
      <sheetName val="2023 tagdíj (3)"/>
    </sheetNames>
    <sheetDataSet>
      <sheetData sheetId="0">
        <row r="36">
          <cell r="I36">
            <v>-76569020</v>
          </cell>
        </row>
        <row r="45">
          <cell r="E45">
            <v>37359330</v>
          </cell>
        </row>
        <row r="46">
          <cell r="E46">
            <v>157198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G4">
            <v>178687977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5"/>
  <sheetViews>
    <sheetView zoomScaleNormal="100" workbookViewId="0">
      <selection activeCell="B43" sqref="B43"/>
    </sheetView>
  </sheetViews>
  <sheetFormatPr defaultRowHeight="13.2" x14ac:dyDescent="0.25"/>
  <cols>
    <col min="1" max="1" width="4.33203125" customWidth="1"/>
    <col min="2" max="2" width="69.6640625" bestFit="1" customWidth="1"/>
  </cols>
  <sheetData>
    <row r="1" spans="1:2" ht="15.6" x14ac:dyDescent="0.3">
      <c r="B1" s="231" t="s">
        <v>246</v>
      </c>
    </row>
    <row r="3" spans="1:2" ht="15.6" x14ac:dyDescent="0.3">
      <c r="A3" s="699" t="s">
        <v>678</v>
      </c>
      <c r="B3" s="699"/>
    </row>
    <row r="4" spans="1:2" x14ac:dyDescent="0.25">
      <c r="A4" s="1"/>
      <c r="B4" s="1"/>
    </row>
    <row r="5" spans="1:2" x14ac:dyDescent="0.25">
      <c r="A5" s="2">
        <v>1</v>
      </c>
      <c r="B5" s="2" t="s">
        <v>152</v>
      </c>
    </row>
    <row r="6" spans="1:2" x14ac:dyDescent="0.25">
      <c r="A6" s="2"/>
      <c r="B6" s="2"/>
    </row>
    <row r="7" spans="1:2" x14ac:dyDescent="0.25">
      <c r="A7" s="2">
        <f>A5+1</f>
        <v>2</v>
      </c>
      <c r="B7" s="2" t="s">
        <v>153</v>
      </c>
    </row>
    <row r="8" spans="1:2" x14ac:dyDescent="0.25">
      <c r="A8" s="2"/>
      <c r="B8" s="2"/>
    </row>
    <row r="9" spans="1:2" x14ac:dyDescent="0.25">
      <c r="A9" s="2">
        <f>A7+1</f>
        <v>3</v>
      </c>
      <c r="B9" s="2" t="s">
        <v>1</v>
      </c>
    </row>
    <row r="10" spans="1:2" x14ac:dyDescent="0.25">
      <c r="A10" s="2"/>
      <c r="B10" s="2"/>
    </row>
    <row r="11" spans="1:2" x14ac:dyDescent="0.25">
      <c r="A11" s="2">
        <f>A9+1</f>
        <v>4</v>
      </c>
      <c r="B11" s="2" t="s">
        <v>241</v>
      </c>
    </row>
    <row r="12" spans="1:2" x14ac:dyDescent="0.25">
      <c r="A12" s="2"/>
      <c r="B12" s="2"/>
    </row>
    <row r="13" spans="1:2" x14ac:dyDescent="0.25">
      <c r="A13" s="2">
        <f>A11+1</f>
        <v>5</v>
      </c>
      <c r="B13" s="172" t="s">
        <v>242</v>
      </c>
    </row>
    <row r="14" spans="1:2" x14ac:dyDescent="0.25">
      <c r="A14" s="2"/>
      <c r="B14" s="2"/>
    </row>
    <row r="15" spans="1:2" x14ac:dyDescent="0.25">
      <c r="A15" s="2">
        <f>A13+1</f>
        <v>6</v>
      </c>
      <c r="B15" s="172" t="s">
        <v>272</v>
      </c>
    </row>
    <row r="16" spans="1:2" x14ac:dyDescent="0.25">
      <c r="A16" s="2"/>
      <c r="B16" s="2"/>
    </row>
    <row r="17" spans="1:3" x14ac:dyDescent="0.25">
      <c r="A17" s="2">
        <f>A15+1</f>
        <v>7</v>
      </c>
      <c r="B17" s="2" t="s">
        <v>5</v>
      </c>
    </row>
    <row r="18" spans="1:3" x14ac:dyDescent="0.25">
      <c r="A18" s="2"/>
      <c r="B18" s="2"/>
    </row>
    <row r="19" spans="1:3" x14ac:dyDescent="0.25">
      <c r="A19" s="2">
        <f>A17+1</f>
        <v>8</v>
      </c>
      <c r="B19" s="2" t="s">
        <v>7</v>
      </c>
    </row>
    <row r="20" spans="1:3" x14ac:dyDescent="0.25">
      <c r="A20" s="2"/>
      <c r="B20" s="2"/>
    </row>
    <row r="21" spans="1:3" x14ac:dyDescent="0.25">
      <c r="A21" s="2">
        <f>A19+1</f>
        <v>9</v>
      </c>
      <c r="B21" s="2" t="s">
        <v>243</v>
      </c>
    </row>
    <row r="22" spans="1:3" ht="11.25" customHeight="1" x14ac:dyDescent="0.25">
      <c r="A22" s="2"/>
      <c r="B22" s="2"/>
    </row>
    <row r="23" spans="1:3" x14ac:dyDescent="0.25">
      <c r="A23" s="2">
        <f>A21+1</f>
        <v>10</v>
      </c>
      <c r="B23" s="172" t="s">
        <v>244</v>
      </c>
    </row>
    <row r="24" spans="1:3" x14ac:dyDescent="0.25">
      <c r="A24" s="2"/>
      <c r="B24" s="2"/>
    </row>
    <row r="25" spans="1:3" x14ac:dyDescent="0.25">
      <c r="A25" s="2">
        <f>A23+1</f>
        <v>11</v>
      </c>
      <c r="B25" s="2" t="s">
        <v>11</v>
      </c>
    </row>
    <row r="26" spans="1:3" x14ac:dyDescent="0.25">
      <c r="A26" s="2"/>
      <c r="B26" s="2"/>
    </row>
    <row r="27" spans="1:3" x14ac:dyDescent="0.25">
      <c r="A27" s="2">
        <f>A25+1</f>
        <v>12</v>
      </c>
      <c r="B27" s="2" t="s">
        <v>236</v>
      </c>
    </row>
    <row r="28" spans="1:3" x14ac:dyDescent="0.25">
      <c r="A28" s="2"/>
      <c r="B28" s="2"/>
    </row>
    <row r="29" spans="1:3" x14ac:dyDescent="0.25">
      <c r="A29" s="2">
        <f>A27+1</f>
        <v>13</v>
      </c>
      <c r="B29" s="700" t="s">
        <v>245</v>
      </c>
      <c r="C29" s="700"/>
    </row>
    <row r="30" spans="1:3" x14ac:dyDescent="0.25">
      <c r="A30" s="1"/>
      <c r="B30" s="1"/>
    </row>
    <row r="31" spans="1:3" x14ac:dyDescent="0.25">
      <c r="A31" s="2">
        <f>A29+1</f>
        <v>14</v>
      </c>
      <c r="B31" s="2" t="s">
        <v>15</v>
      </c>
    </row>
    <row r="32" spans="1:3" x14ac:dyDescent="0.25">
      <c r="A32" s="1"/>
      <c r="B32" s="1"/>
    </row>
    <row r="33" spans="1:26" s="216" customFormat="1" x14ac:dyDescent="0.25">
      <c r="A33" s="2">
        <f>A31+1</f>
        <v>15</v>
      </c>
      <c r="B33" s="3" t="s">
        <v>149</v>
      </c>
    </row>
    <row r="34" spans="1:26" s="216" customFormat="1" x14ac:dyDescent="0.25">
      <c r="A34" s="8"/>
      <c r="B34" s="8"/>
    </row>
    <row r="35" spans="1:26" s="216" customFormat="1" x14ac:dyDescent="0.25">
      <c r="A35" s="2">
        <f>A33+1</f>
        <v>16</v>
      </c>
      <c r="B35" s="3" t="s">
        <v>104</v>
      </c>
    </row>
    <row r="36" spans="1:26" s="216" customFormat="1" x14ac:dyDescent="0.25">
      <c r="A36" s="8"/>
      <c r="B36" s="8"/>
    </row>
    <row r="37" spans="1:26" s="216" customFormat="1" x14ac:dyDescent="0.25">
      <c r="A37" s="2">
        <f>A35+1</f>
        <v>17</v>
      </c>
      <c r="B37" s="3" t="s">
        <v>679</v>
      </c>
    </row>
    <row r="38" spans="1:26" s="216" customFormat="1" x14ac:dyDescent="0.25">
      <c r="A38" s="8"/>
      <c r="B38" s="8"/>
    </row>
    <row r="39" spans="1:26" s="216" customFormat="1" x14ac:dyDescent="0.25">
      <c r="A39" s="2">
        <f>A37+1</f>
        <v>18</v>
      </c>
      <c r="B39" s="3" t="s">
        <v>680</v>
      </c>
    </row>
    <row r="40" spans="1:26" s="216" customFormat="1" x14ac:dyDescent="0.25">
      <c r="A40" s="8"/>
      <c r="B40" s="8"/>
    </row>
    <row r="41" spans="1:26" s="216" customFormat="1" x14ac:dyDescent="0.25">
      <c r="A41" s="2">
        <f>A39+1</f>
        <v>19</v>
      </c>
      <c r="B41" s="498" t="s">
        <v>681</v>
      </c>
      <c r="C41" s="412"/>
      <c r="D41" s="412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</row>
    <row r="42" spans="1:26" s="216" customFormat="1" x14ac:dyDescent="0.25">
      <c r="A42" s="8"/>
      <c r="B42" s="8"/>
    </row>
    <row r="43" spans="1:26" s="216" customFormat="1" x14ac:dyDescent="0.25">
      <c r="A43" s="2">
        <f>A41+1</f>
        <v>20</v>
      </c>
      <c r="B43" s="3" t="s">
        <v>682</v>
      </c>
    </row>
    <row r="44" spans="1:26" s="216" customFormat="1" x14ac:dyDescent="0.25">
      <c r="A44" s="8"/>
      <c r="B44" s="8"/>
    </row>
    <row r="45" spans="1:26" s="216" customFormat="1" x14ac:dyDescent="0.25">
      <c r="A45" s="2">
        <f>A43+1</f>
        <v>21</v>
      </c>
      <c r="B45" s="3" t="s">
        <v>683</v>
      </c>
    </row>
    <row r="46" spans="1:26" s="216" customFormat="1" x14ac:dyDescent="0.25">
      <c r="A46" s="8"/>
      <c r="B46" s="8"/>
    </row>
    <row r="47" spans="1:26" s="216" customFormat="1" ht="26.4" x14ac:dyDescent="0.25">
      <c r="A47" s="2">
        <f>A45+1</f>
        <v>22</v>
      </c>
      <c r="B47" s="499" t="s">
        <v>684</v>
      </c>
      <c r="C47" s="414"/>
      <c r="D47" s="414"/>
    </row>
    <row r="48" spans="1:26" s="216" customFormat="1" x14ac:dyDescent="0.25">
      <c r="A48" s="8"/>
      <c r="B48" s="499"/>
      <c r="C48" s="414"/>
      <c r="D48" s="414"/>
    </row>
    <row r="49" spans="1:2" s="216" customFormat="1" ht="26.4" x14ac:dyDescent="0.25">
      <c r="A49" s="2">
        <f>A47+1</f>
        <v>23</v>
      </c>
      <c r="B49" s="499" t="s">
        <v>685</v>
      </c>
    </row>
    <row r="50" spans="1:2" s="216" customFormat="1" x14ac:dyDescent="0.25">
      <c r="A50" s="8"/>
      <c r="B50" s="8"/>
    </row>
    <row r="51" spans="1:2" s="216" customFormat="1" x14ac:dyDescent="0.25">
      <c r="A51" s="3">
        <f>A49+1</f>
        <v>24</v>
      </c>
      <c r="B51" s="499" t="s">
        <v>686</v>
      </c>
    </row>
    <row r="52" spans="1:2" x14ac:dyDescent="0.25">
      <c r="A52" s="8"/>
      <c r="B52" s="8"/>
    </row>
    <row r="53" spans="1:2" ht="26.4" x14ac:dyDescent="0.25">
      <c r="A53" s="3">
        <v>25</v>
      </c>
      <c r="B53" s="499" t="s">
        <v>195</v>
      </c>
    </row>
    <row r="55" spans="1:2" x14ac:dyDescent="0.25">
      <c r="A55" s="3">
        <v>26</v>
      </c>
      <c r="B55" s="3" t="s">
        <v>687</v>
      </c>
    </row>
  </sheetData>
  <mergeCells count="2">
    <mergeCell ref="A3:B3"/>
    <mergeCell ref="B29:C29"/>
  </mergeCells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9"/>
  <sheetViews>
    <sheetView topLeftCell="V19" zoomScaleNormal="100" workbookViewId="0">
      <selection activeCell="M31" sqref="M31"/>
    </sheetView>
  </sheetViews>
  <sheetFormatPr defaultRowHeight="13.2" x14ac:dyDescent="0.25"/>
  <cols>
    <col min="1" max="1" width="11.109375" customWidth="1"/>
    <col min="2" max="2" width="30.88671875" customWidth="1"/>
    <col min="3" max="4" width="14.109375" customWidth="1"/>
    <col min="5" max="11" width="14.6640625" customWidth="1"/>
    <col min="12" max="12" width="2.88671875" customWidth="1"/>
    <col min="13" max="13" width="13.88671875" customWidth="1"/>
    <col min="14" max="14" width="32.88671875" customWidth="1"/>
    <col min="15" max="15" width="14.5546875" customWidth="1"/>
    <col min="16" max="16" width="14" customWidth="1"/>
    <col min="17" max="23" width="15" customWidth="1"/>
    <col min="24" max="24" width="2.44140625" customWidth="1"/>
    <col min="25" max="25" width="32.109375" customWidth="1"/>
    <col min="26" max="28" width="15.5546875" customWidth="1"/>
    <col min="29" max="29" width="2.33203125" customWidth="1"/>
    <col min="30" max="30" width="30.33203125" style="4" customWidth="1"/>
    <col min="31" max="31" width="15.88671875" style="4" customWidth="1"/>
    <col min="32" max="32" width="14.109375" customWidth="1"/>
    <col min="33" max="33" width="11.5546875" bestFit="1" customWidth="1"/>
  </cols>
  <sheetData>
    <row r="1" spans="1:33" x14ac:dyDescent="0.25">
      <c r="B1" s="3" t="s">
        <v>692</v>
      </c>
      <c r="Y1" s="3" t="s">
        <v>693</v>
      </c>
      <c r="AF1" s="8"/>
    </row>
    <row r="2" spans="1:33" x14ac:dyDescent="0.25">
      <c r="AE2" s="55" t="s">
        <v>201</v>
      </c>
    </row>
    <row r="3" spans="1:33" x14ac:dyDescent="0.25">
      <c r="B3" s="3" t="s">
        <v>173</v>
      </c>
      <c r="N3" s="701" t="s">
        <v>1017</v>
      </c>
      <c r="O3" s="701"/>
      <c r="P3" s="51"/>
      <c r="Q3" s="51"/>
      <c r="R3" s="409"/>
      <c r="S3" s="409"/>
      <c r="T3" s="409"/>
      <c r="U3" s="481"/>
      <c r="V3" s="481"/>
      <c r="W3" s="481"/>
      <c r="Y3" s="3" t="s">
        <v>56</v>
      </c>
      <c r="AD3" s="55" t="s">
        <v>57</v>
      </c>
    </row>
    <row r="4" spans="1:33" ht="13.8" thickBot="1" x14ac:dyDescent="0.3">
      <c r="D4" s="702" t="s">
        <v>66</v>
      </c>
      <c r="E4" s="702"/>
      <c r="F4" s="410"/>
      <c r="G4" s="411" t="s">
        <v>642</v>
      </c>
      <c r="H4" s="410"/>
      <c r="I4" s="644"/>
      <c r="J4" s="645" t="s">
        <v>688</v>
      </c>
      <c r="K4" s="644"/>
      <c r="L4" s="94"/>
      <c r="P4" s="702" t="s">
        <v>66</v>
      </c>
      <c r="Q4" s="702"/>
      <c r="R4" s="410"/>
      <c r="S4" s="411" t="s">
        <v>643</v>
      </c>
      <c r="T4" s="410"/>
      <c r="U4" s="482"/>
      <c r="V4" s="485" t="s">
        <v>688</v>
      </c>
      <c r="W4" s="482"/>
    </row>
    <row r="5" spans="1:33" ht="27" thickBot="1" x14ac:dyDescent="0.3">
      <c r="A5" s="5" t="s">
        <v>123</v>
      </c>
      <c r="B5" s="5" t="s">
        <v>16</v>
      </c>
      <c r="C5" s="6" t="s">
        <v>48</v>
      </c>
      <c r="D5" s="459" t="s">
        <v>64</v>
      </c>
      <c r="E5" s="459" t="s">
        <v>65</v>
      </c>
      <c r="F5" s="460" t="s">
        <v>641</v>
      </c>
      <c r="G5" s="459" t="s">
        <v>64</v>
      </c>
      <c r="H5" s="459" t="s">
        <v>65</v>
      </c>
      <c r="I5" s="445" t="s">
        <v>689</v>
      </c>
      <c r="J5" s="646" t="s">
        <v>64</v>
      </c>
      <c r="K5" s="646" t="s">
        <v>65</v>
      </c>
      <c r="L5" s="111"/>
      <c r="M5" s="5" t="s">
        <v>123</v>
      </c>
      <c r="N5" s="5" t="s">
        <v>17</v>
      </c>
      <c r="O5" s="6" t="s">
        <v>48</v>
      </c>
      <c r="P5" s="459" t="s">
        <v>64</v>
      </c>
      <c r="Q5" s="459" t="s">
        <v>65</v>
      </c>
      <c r="R5" s="460" t="s">
        <v>641</v>
      </c>
      <c r="S5" s="459" t="s">
        <v>64</v>
      </c>
      <c r="T5" s="459" t="s">
        <v>65</v>
      </c>
      <c r="U5" s="445" t="s">
        <v>689</v>
      </c>
      <c r="V5" s="646" t="s">
        <v>64</v>
      </c>
      <c r="W5" s="646" t="s">
        <v>65</v>
      </c>
      <c r="Y5" s="5" t="s">
        <v>16</v>
      </c>
      <c r="Z5" s="460" t="s">
        <v>48</v>
      </c>
      <c r="AA5" s="460" t="s">
        <v>641</v>
      </c>
      <c r="AB5" s="445" t="s">
        <v>689</v>
      </c>
      <c r="AD5" s="5" t="s">
        <v>16</v>
      </c>
      <c r="AE5" s="460" t="s">
        <v>48</v>
      </c>
      <c r="AF5" s="460" t="s">
        <v>641</v>
      </c>
      <c r="AG5" s="445" t="s">
        <v>689</v>
      </c>
    </row>
    <row r="6" spans="1:33" ht="13.8" thickBot="1" x14ac:dyDescent="0.3">
      <c r="A6" s="460" t="s">
        <v>124</v>
      </c>
      <c r="B6" s="460" t="s">
        <v>18</v>
      </c>
      <c r="C6" s="461">
        <f>'Működési bevételek'!E64</f>
        <v>401860000</v>
      </c>
      <c r="D6" s="461">
        <f>C6-E6</f>
        <v>382500000</v>
      </c>
      <c r="E6" s="461">
        <f>'Működési bevételek'!E28</f>
        <v>19360000</v>
      </c>
      <c r="F6" s="461">
        <f>'Működési bevételek'!E65</f>
        <v>401860000</v>
      </c>
      <c r="G6" s="461">
        <f>F6-H6</f>
        <v>382500000</v>
      </c>
      <c r="H6" s="461">
        <f>'Működési bevételek'!E29</f>
        <v>19360000</v>
      </c>
      <c r="I6" s="461">
        <f>'Működési bevételek'!E66</f>
        <v>471188380</v>
      </c>
      <c r="J6" s="461">
        <f>I6-K6</f>
        <v>457253659</v>
      </c>
      <c r="K6" s="461">
        <f>'Működési bevételek'!E60</f>
        <v>13934721</v>
      </c>
      <c r="L6" s="70"/>
      <c r="M6" s="460" t="s">
        <v>143</v>
      </c>
      <c r="N6" s="460" t="s">
        <v>19</v>
      </c>
      <c r="O6" s="464">
        <f>'Működési kiadások'!M71</f>
        <v>2085808257</v>
      </c>
      <c r="P6" s="464">
        <f>O6-Q6</f>
        <v>2085808257</v>
      </c>
      <c r="Q6" s="464">
        <f>'Működési kiadások'!M20</f>
        <v>0</v>
      </c>
      <c r="R6" s="464">
        <f>'Működési kiadások'!M74</f>
        <v>2201356708</v>
      </c>
      <c r="S6" s="464">
        <f>R6-T6</f>
        <v>2201356708</v>
      </c>
      <c r="T6" s="464">
        <f>'Működési kiadások'!P20</f>
        <v>0</v>
      </c>
      <c r="U6" s="461">
        <f>'Működési kiadások'!M24</f>
        <v>1933456286</v>
      </c>
      <c r="V6" s="461">
        <f>U6-W6</f>
        <v>1933456286</v>
      </c>
      <c r="W6" s="461">
        <f>'Működési kiadások'!S20</f>
        <v>0</v>
      </c>
      <c r="X6" s="8"/>
      <c r="Y6" s="7" t="s">
        <v>18</v>
      </c>
      <c r="Z6" s="9">
        <f>C6</f>
        <v>401860000</v>
      </c>
      <c r="AA6" s="9">
        <f>F6</f>
        <v>401860000</v>
      </c>
      <c r="AB6" s="67">
        <f>I6</f>
        <v>471188380</v>
      </c>
      <c r="AC6" s="56"/>
      <c r="AD6" s="10" t="s">
        <v>20</v>
      </c>
      <c r="AE6" s="54">
        <f t="shared" ref="AE6:AG8" si="0">C13</f>
        <v>0</v>
      </c>
      <c r="AF6" s="54">
        <f t="shared" si="0"/>
        <v>0</v>
      </c>
      <c r="AG6" s="66">
        <f t="shared" si="0"/>
        <v>0</v>
      </c>
    </row>
    <row r="7" spans="1:33" ht="13.8" thickBot="1" x14ac:dyDescent="0.3">
      <c r="A7" s="460" t="s">
        <v>125</v>
      </c>
      <c r="B7" s="460" t="s">
        <v>21</v>
      </c>
      <c r="C7" s="461">
        <f>'Működési bevételek'!H64+'Működési bevételek'!F18+'Működési bevételek'!G18</f>
        <v>1675306481</v>
      </c>
      <c r="D7" s="461">
        <f>C7-E7</f>
        <v>1674965641</v>
      </c>
      <c r="E7" s="461">
        <f>390840-50000</f>
        <v>340840</v>
      </c>
      <c r="F7" s="461">
        <f>támogatás!L30</f>
        <v>1613625498</v>
      </c>
      <c r="G7" s="461">
        <f>F7-H7</f>
        <v>1613625498</v>
      </c>
      <c r="H7" s="461">
        <v>0</v>
      </c>
      <c r="I7" s="461">
        <f>támogatás!O30</f>
        <v>1625873642</v>
      </c>
      <c r="J7" s="461">
        <f>I7-K7</f>
        <v>1625873642</v>
      </c>
      <c r="K7" s="461">
        <v>0</v>
      </c>
      <c r="L7" s="70"/>
      <c r="M7" s="460" t="s">
        <v>143</v>
      </c>
      <c r="N7" s="465" t="s">
        <v>289</v>
      </c>
      <c r="O7" s="464">
        <f>'Működési kiadások'!M89</f>
        <v>112833976</v>
      </c>
      <c r="P7" s="464">
        <f>'Működési kiadások'!M36</f>
        <v>93133136</v>
      </c>
      <c r="Q7" s="464">
        <f>O7-P7</f>
        <v>19700840</v>
      </c>
      <c r="R7" s="464">
        <f>'Működési kiadások'!M93</f>
        <v>148982435</v>
      </c>
      <c r="S7" s="464">
        <f>'Működési kiadások'!M94</f>
        <v>127832669</v>
      </c>
      <c r="T7" s="464">
        <f>R7-S7</f>
        <v>21149766</v>
      </c>
      <c r="U7" s="461">
        <f>'Működési kiadások'!M49</f>
        <v>17544519</v>
      </c>
      <c r="V7" s="461">
        <f>'Működési kiadások'!P94</f>
        <v>0</v>
      </c>
      <c r="W7" s="461">
        <f>U7-V7</f>
        <v>17544519</v>
      </c>
      <c r="X7" s="8"/>
      <c r="Y7" s="7" t="s">
        <v>21</v>
      </c>
      <c r="Z7" s="9">
        <f>C7</f>
        <v>1675306481</v>
      </c>
      <c r="AA7" s="9">
        <f>F7</f>
        <v>1613625498</v>
      </c>
      <c r="AB7" s="67">
        <f>I7</f>
        <v>1625873642</v>
      </c>
      <c r="AC7" s="56"/>
      <c r="AD7" s="7" t="s">
        <v>22</v>
      </c>
      <c r="AE7" s="9">
        <f t="shared" si="0"/>
        <v>150000000</v>
      </c>
      <c r="AF7" s="9">
        <f t="shared" si="0"/>
        <v>150000000</v>
      </c>
      <c r="AG7" s="67">
        <f>I14</f>
        <v>36658738</v>
      </c>
    </row>
    <row r="8" spans="1:33" ht="27" thickBot="1" x14ac:dyDescent="0.3">
      <c r="A8" s="460" t="s">
        <v>160</v>
      </c>
      <c r="B8" s="462" t="s">
        <v>191</v>
      </c>
      <c r="C8" s="461">
        <f>'Működési bevételek'!I18+'Működési bevételek'!I31</f>
        <v>0</v>
      </c>
      <c r="D8" s="461">
        <v>0</v>
      </c>
      <c r="E8" s="461">
        <f>C8</f>
        <v>0</v>
      </c>
      <c r="F8" s="461">
        <v>0</v>
      </c>
      <c r="G8" s="461">
        <v>0</v>
      </c>
      <c r="H8" s="461">
        <f>F8</f>
        <v>0</v>
      </c>
      <c r="I8" s="461">
        <f>'Működési bevételek'!I66</f>
        <v>6500193</v>
      </c>
      <c r="J8" s="461">
        <v>6500193</v>
      </c>
      <c r="K8" s="461">
        <v>0</v>
      </c>
      <c r="L8" s="70"/>
      <c r="M8" s="460"/>
      <c r="N8" s="5" t="s">
        <v>24</v>
      </c>
      <c r="O8" s="11">
        <f t="shared" ref="O8:T8" si="1">SUM(O6:O7)</f>
        <v>2198642233</v>
      </c>
      <c r="P8" s="11">
        <f t="shared" si="1"/>
        <v>2178941393</v>
      </c>
      <c r="Q8" s="11">
        <f t="shared" si="1"/>
        <v>19700840</v>
      </c>
      <c r="R8" s="11">
        <f t="shared" si="1"/>
        <v>2350339143</v>
      </c>
      <c r="S8" s="11">
        <f t="shared" si="1"/>
        <v>2329189377</v>
      </c>
      <c r="T8" s="11">
        <f t="shared" si="1"/>
        <v>21149766</v>
      </c>
      <c r="U8" s="12">
        <f t="shared" ref="U8:W8" si="2">SUM(U6:U7)</f>
        <v>1951000805</v>
      </c>
      <c r="V8" s="12">
        <f t="shared" si="2"/>
        <v>1933456286</v>
      </c>
      <c r="W8" s="12">
        <f t="shared" si="2"/>
        <v>17544519</v>
      </c>
      <c r="X8" s="8"/>
      <c r="Y8" s="7" t="s">
        <v>23</v>
      </c>
      <c r="Z8" s="9">
        <f>C8</f>
        <v>0</v>
      </c>
      <c r="AA8" s="9">
        <f>D8</f>
        <v>0</v>
      </c>
      <c r="AB8" s="67">
        <f>I8</f>
        <v>6500193</v>
      </c>
      <c r="AC8" s="56"/>
      <c r="AD8" s="7" t="s">
        <v>25</v>
      </c>
      <c r="AE8" s="9">
        <f t="shared" si="0"/>
        <v>0</v>
      </c>
      <c r="AF8" s="9">
        <f t="shared" si="0"/>
        <v>0</v>
      </c>
      <c r="AG8" s="67">
        <f t="shared" si="0"/>
        <v>0</v>
      </c>
    </row>
    <row r="9" spans="1:33" ht="13.8" thickBot="1" x14ac:dyDescent="0.3">
      <c r="A9" s="460" t="s">
        <v>126</v>
      </c>
      <c r="B9" s="460" t="s">
        <v>282</v>
      </c>
      <c r="C9" s="461">
        <f>'Működési bevételek'!F31</f>
        <v>0</v>
      </c>
      <c r="D9" s="461">
        <f>C9</f>
        <v>0</v>
      </c>
      <c r="E9" s="461">
        <f>C9-D9</f>
        <v>0</v>
      </c>
      <c r="F9" s="461">
        <f>'Működési bevételek'!I31</f>
        <v>0</v>
      </c>
      <c r="G9" s="461">
        <f>F9</f>
        <v>0</v>
      </c>
      <c r="H9" s="461">
        <f>F9-G9</f>
        <v>0</v>
      </c>
      <c r="I9" s="461">
        <v>0</v>
      </c>
      <c r="J9" s="461">
        <f>I9</f>
        <v>0</v>
      </c>
      <c r="K9" s="461">
        <f>I9-J9</f>
        <v>0</v>
      </c>
      <c r="L9" s="70"/>
      <c r="M9" s="445" t="s">
        <v>144</v>
      </c>
      <c r="N9" s="5" t="s">
        <v>11</v>
      </c>
      <c r="O9" s="12">
        <f>'Felhalmozási kiadások'!I24</f>
        <v>164020854</v>
      </c>
      <c r="P9" s="12">
        <f>O9-Q9</f>
        <v>164020854</v>
      </c>
      <c r="Q9" s="12">
        <f>'Felhalmozási kiadások'!I26</f>
        <v>0</v>
      </c>
      <c r="R9" s="12">
        <f>'Felhalmozási kiadások'!I28</f>
        <v>169582074</v>
      </c>
      <c r="S9" s="12">
        <f>R9-T9</f>
        <v>169582074</v>
      </c>
      <c r="T9" s="12">
        <f>'Felhalmozási kiadások'!L26</f>
        <v>0</v>
      </c>
      <c r="U9" s="12">
        <f>'Felhalmozási kiadások'!I32</f>
        <v>47271264</v>
      </c>
      <c r="V9" s="12">
        <f>U9-W9</f>
        <v>47271264</v>
      </c>
      <c r="W9" s="12">
        <f>'Felhalmozási kiadások'!O26</f>
        <v>0</v>
      </c>
      <c r="X9" s="8"/>
      <c r="Y9" s="7" t="s">
        <v>122</v>
      </c>
      <c r="Z9" s="9">
        <f>C9+C23</f>
        <v>0</v>
      </c>
      <c r="AA9" s="9">
        <f>D9+D23</f>
        <v>0</v>
      </c>
      <c r="AB9" s="67">
        <f>E9+E23</f>
        <v>0</v>
      </c>
      <c r="AC9" s="56"/>
      <c r="AD9" s="13" t="s">
        <v>292</v>
      </c>
      <c r="AE9" s="53">
        <v>0</v>
      </c>
      <c r="AF9" s="53">
        <v>0</v>
      </c>
      <c r="AG9" s="52">
        <v>0</v>
      </c>
    </row>
    <row r="10" spans="1:33" ht="13.8" thickBot="1" x14ac:dyDescent="0.3">
      <c r="A10" s="6"/>
      <c r="B10" s="460"/>
      <c r="C10" s="461"/>
      <c r="D10" s="461"/>
      <c r="E10" s="461"/>
      <c r="F10" s="461"/>
      <c r="G10" s="461"/>
      <c r="H10" s="461"/>
      <c r="I10" s="461"/>
      <c r="J10" s="461"/>
      <c r="K10" s="461"/>
      <c r="L10" s="70"/>
      <c r="M10" s="445"/>
      <c r="N10" s="460" t="s">
        <v>27</v>
      </c>
      <c r="O10" s="460"/>
      <c r="P10" s="460"/>
      <c r="Q10" s="460"/>
      <c r="R10" s="460"/>
      <c r="S10" s="460"/>
      <c r="T10" s="460"/>
      <c r="U10" s="445"/>
      <c r="V10" s="445"/>
      <c r="W10" s="445"/>
      <c r="X10" s="8"/>
      <c r="Y10" s="13"/>
      <c r="Z10" s="53"/>
      <c r="AA10" s="53"/>
      <c r="AB10" s="52"/>
      <c r="AC10" s="56"/>
      <c r="AD10" s="13" t="s">
        <v>293</v>
      </c>
      <c r="AE10" s="53">
        <f>C16</f>
        <v>0</v>
      </c>
      <c r="AF10" s="53">
        <f>D16</f>
        <v>0</v>
      </c>
      <c r="AG10" s="52">
        <f>E16</f>
        <v>0</v>
      </c>
    </row>
    <row r="11" spans="1:33" ht="27" thickBot="1" x14ac:dyDescent="0.3">
      <c r="A11" s="460" t="s">
        <v>127</v>
      </c>
      <c r="B11" s="462" t="s">
        <v>283</v>
      </c>
      <c r="C11" s="461">
        <v>0</v>
      </c>
      <c r="D11" s="461">
        <f>C11-E11</f>
        <v>0</v>
      </c>
      <c r="E11" s="461">
        <v>0</v>
      </c>
      <c r="F11" s="461">
        <v>0</v>
      </c>
      <c r="G11" s="461">
        <v>0</v>
      </c>
      <c r="H11" s="461">
        <v>0</v>
      </c>
      <c r="I11" s="461">
        <v>0</v>
      </c>
      <c r="J11" s="461">
        <v>0</v>
      </c>
      <c r="K11" s="461">
        <v>0</v>
      </c>
      <c r="L11" s="70"/>
      <c r="M11" s="445" t="s">
        <v>145</v>
      </c>
      <c r="N11" s="460" t="s">
        <v>29</v>
      </c>
      <c r="O11" s="464">
        <v>0</v>
      </c>
      <c r="P11" s="464">
        <f>O11</f>
        <v>0</v>
      </c>
      <c r="Q11" s="464">
        <v>0</v>
      </c>
      <c r="R11" s="464">
        <v>0</v>
      </c>
      <c r="S11" s="464">
        <f>R11</f>
        <v>0</v>
      </c>
      <c r="T11" s="464">
        <v>0</v>
      </c>
      <c r="U11" s="461">
        <v>0</v>
      </c>
      <c r="V11" s="461">
        <f>U11</f>
        <v>0</v>
      </c>
      <c r="W11" s="461">
        <v>0</v>
      </c>
      <c r="X11" s="8"/>
      <c r="Y11" s="14" t="s">
        <v>28</v>
      </c>
      <c r="Z11" s="15">
        <f>C11</f>
        <v>0</v>
      </c>
      <c r="AA11" s="15">
        <f>D11</f>
        <v>0</v>
      </c>
      <c r="AB11" s="68">
        <f>E11</f>
        <v>0</v>
      </c>
      <c r="AC11" s="56"/>
      <c r="AD11" s="5" t="s">
        <v>58</v>
      </c>
      <c r="AE11" s="11">
        <f>SUM(AE6:AE10)</f>
        <v>150000000</v>
      </c>
      <c r="AF11" s="11">
        <f>SUM(AF6:AF10)</f>
        <v>150000000</v>
      </c>
      <c r="AG11" s="12">
        <f>SUM(AG6:AG10)</f>
        <v>36658738</v>
      </c>
    </row>
    <row r="12" spans="1:33" ht="27" thickBot="1" x14ac:dyDescent="0.3">
      <c r="A12" s="6"/>
      <c r="B12" s="5" t="s">
        <v>31</v>
      </c>
      <c r="C12" s="12">
        <f t="shared" ref="C12:H12" si="3">SUM(C6:C11)</f>
        <v>2077166481</v>
      </c>
      <c r="D12" s="12">
        <f t="shared" si="3"/>
        <v>2057465641</v>
      </c>
      <c r="E12" s="12">
        <f t="shared" si="3"/>
        <v>19700840</v>
      </c>
      <c r="F12" s="12">
        <f t="shared" si="3"/>
        <v>2015485498</v>
      </c>
      <c r="G12" s="12">
        <f t="shared" si="3"/>
        <v>1996125498</v>
      </c>
      <c r="H12" s="12">
        <f t="shared" si="3"/>
        <v>19360000</v>
      </c>
      <c r="I12" s="12">
        <f>SUM(I6:I11)</f>
        <v>2103562215</v>
      </c>
      <c r="J12" s="12">
        <f t="shared" ref="J12:K12" si="4">SUM(J6:J11)</f>
        <v>2089627494</v>
      </c>
      <c r="K12" s="12">
        <f t="shared" si="4"/>
        <v>13934721</v>
      </c>
      <c r="L12" s="97"/>
      <c r="M12" s="460" t="s">
        <v>171</v>
      </c>
      <c r="N12" s="462" t="s">
        <v>172</v>
      </c>
      <c r="O12" s="464">
        <v>0</v>
      </c>
      <c r="P12" s="464">
        <f>O12</f>
        <v>0</v>
      </c>
      <c r="Q12" s="464">
        <v>0</v>
      </c>
      <c r="R12" s="464">
        <v>0</v>
      </c>
      <c r="S12" s="464">
        <f>R12</f>
        <v>0</v>
      </c>
      <c r="T12" s="464">
        <v>0</v>
      </c>
      <c r="U12" s="461">
        <v>0</v>
      </c>
      <c r="V12" s="461">
        <f>U12</f>
        <v>0</v>
      </c>
      <c r="W12" s="461">
        <v>0</v>
      </c>
      <c r="X12" s="8"/>
      <c r="Y12" s="5" t="s">
        <v>31</v>
      </c>
      <c r="Z12" s="11">
        <f>C12+C23</f>
        <v>2077166481</v>
      </c>
      <c r="AA12" s="11">
        <f>SUM(AA6:AA11)</f>
        <v>2015485498</v>
      </c>
      <c r="AB12" s="12">
        <f>SUM(AB6:AB11)</f>
        <v>2103562215</v>
      </c>
      <c r="AC12" s="56"/>
      <c r="AD12" s="5" t="s">
        <v>30</v>
      </c>
      <c r="AE12" s="11">
        <f>C19</f>
        <v>0</v>
      </c>
      <c r="AF12" s="11">
        <f>D19</f>
        <v>0</v>
      </c>
      <c r="AG12" s="12">
        <f>E19</f>
        <v>0</v>
      </c>
    </row>
    <row r="13" spans="1:33" ht="27" thickBot="1" x14ac:dyDescent="0.3">
      <c r="A13" s="460" t="s">
        <v>161</v>
      </c>
      <c r="B13" s="462" t="s">
        <v>150</v>
      </c>
      <c r="C13" s="461">
        <f>'Felhalmozási bevételek'!E15</f>
        <v>0</v>
      </c>
      <c r="D13" s="461">
        <v>0</v>
      </c>
      <c r="E13" s="461">
        <f>C13-D13</f>
        <v>0</v>
      </c>
      <c r="F13" s="461">
        <f>'Felhalmozási bevételek'!H15</f>
        <v>0</v>
      </c>
      <c r="G13" s="461">
        <v>0</v>
      </c>
      <c r="H13" s="461">
        <f>F13-G13</f>
        <v>0</v>
      </c>
      <c r="I13" s="461">
        <v>0</v>
      </c>
      <c r="J13" s="461">
        <v>0</v>
      </c>
      <c r="K13" s="461">
        <f>I13-J13</f>
        <v>0</v>
      </c>
      <c r="L13" s="70"/>
      <c r="M13" s="460" t="s">
        <v>146</v>
      </c>
      <c r="N13" s="460" t="s">
        <v>33</v>
      </c>
      <c r="O13" s="464">
        <v>0</v>
      </c>
      <c r="P13" s="464">
        <f>O13</f>
        <v>0</v>
      </c>
      <c r="Q13" s="464">
        <v>0</v>
      </c>
      <c r="R13" s="464">
        <v>0</v>
      </c>
      <c r="S13" s="464">
        <f>R13</f>
        <v>0</v>
      </c>
      <c r="T13" s="464">
        <v>0</v>
      </c>
      <c r="U13" s="461">
        <v>0</v>
      </c>
      <c r="V13" s="461">
        <f>U13</f>
        <v>0</v>
      </c>
      <c r="W13" s="461">
        <v>0</v>
      </c>
      <c r="X13" s="8"/>
      <c r="Y13" s="10" t="s">
        <v>290</v>
      </c>
      <c r="Z13" s="54">
        <v>0</v>
      </c>
      <c r="AA13" s="54">
        <v>0</v>
      </c>
      <c r="AB13" s="66">
        <v>0</v>
      </c>
      <c r="AC13" s="56"/>
      <c r="AD13" s="5" t="s">
        <v>32</v>
      </c>
      <c r="AE13" s="11">
        <f>SUM(AE11:AE12)</f>
        <v>150000000</v>
      </c>
      <c r="AF13" s="11">
        <f>SUM(AF11:AF12)</f>
        <v>150000000</v>
      </c>
      <c r="AG13" s="12">
        <f>SUM(AG11:AG12)</f>
        <v>36658738</v>
      </c>
    </row>
    <row r="14" spans="1:33" ht="27" thickBot="1" x14ac:dyDescent="0.3">
      <c r="A14" s="460" t="s">
        <v>163</v>
      </c>
      <c r="B14" s="463" t="s">
        <v>22</v>
      </c>
      <c r="C14" s="461">
        <f>'Felhalmozási bevételek'!F15</f>
        <v>150000000</v>
      </c>
      <c r="D14" s="461">
        <v>150000000</v>
      </c>
      <c r="E14" s="461">
        <f>C14-D14</f>
        <v>0</v>
      </c>
      <c r="F14" s="461">
        <f>'Felhalmozási bevételek'!F13</f>
        <v>150000000</v>
      </c>
      <c r="G14" s="461">
        <v>150000000</v>
      </c>
      <c r="H14" s="461">
        <f>F14-G14</f>
        <v>0</v>
      </c>
      <c r="I14" s="461">
        <f>'Felhalmozási bevételek'!F20</f>
        <v>36658738</v>
      </c>
      <c r="J14" s="461">
        <v>36658738</v>
      </c>
      <c r="K14" s="461">
        <f>I14-J14</f>
        <v>0</v>
      </c>
      <c r="L14" s="70"/>
      <c r="M14" s="8"/>
      <c r="N14" s="98"/>
      <c r="O14" s="99"/>
      <c r="P14" s="99"/>
      <c r="Q14" s="100"/>
      <c r="R14" s="99"/>
      <c r="S14" s="99"/>
      <c r="T14" s="100"/>
      <c r="U14" s="99"/>
      <c r="V14" s="99"/>
      <c r="W14" s="100"/>
      <c r="X14" s="8"/>
      <c r="Y14" s="248" t="s">
        <v>291</v>
      </c>
      <c r="Z14" s="61">
        <f>'Működési bevételek'!K64</f>
        <v>121475751</v>
      </c>
      <c r="AA14" s="61">
        <f>340507164-5653519</f>
        <v>334853645</v>
      </c>
      <c r="AB14" s="662">
        <v>0</v>
      </c>
      <c r="AC14" s="56"/>
      <c r="AD14" s="7"/>
      <c r="AE14" s="54"/>
      <c r="AF14" s="54"/>
      <c r="AG14" s="66"/>
    </row>
    <row r="15" spans="1:33" ht="13.8" thickBot="1" x14ac:dyDescent="0.3">
      <c r="A15" s="460" t="s">
        <v>162</v>
      </c>
      <c r="B15" s="460" t="s">
        <v>25</v>
      </c>
      <c r="C15" s="461">
        <f>'Felhalmozási bevételek'!G15</f>
        <v>0</v>
      </c>
      <c r="D15" s="461">
        <f>C15-E15</f>
        <v>0</v>
      </c>
      <c r="E15" s="461">
        <v>0</v>
      </c>
      <c r="F15" s="461">
        <f>'Felhalmozási bevételek'!J15</f>
        <v>0</v>
      </c>
      <c r="G15" s="461">
        <v>0</v>
      </c>
      <c r="H15" s="461">
        <v>0</v>
      </c>
      <c r="I15" s="461">
        <f>'Felhalmozási bevételek'!M15</f>
        <v>0</v>
      </c>
      <c r="J15" s="461">
        <v>0</v>
      </c>
      <c r="K15" s="461">
        <v>0</v>
      </c>
      <c r="L15" s="70"/>
      <c r="M15" s="8"/>
      <c r="N15" s="101"/>
      <c r="O15" s="102"/>
      <c r="P15" s="102"/>
      <c r="Q15" s="103"/>
      <c r="R15" s="102"/>
      <c r="S15" s="102"/>
      <c r="T15" s="103"/>
      <c r="U15" s="102"/>
      <c r="V15" s="102"/>
      <c r="W15" s="103"/>
      <c r="X15" s="8"/>
      <c r="Y15" s="5" t="s">
        <v>59</v>
      </c>
      <c r="Z15" s="11">
        <f>Z12+Z14+1</f>
        <v>2198642233</v>
      </c>
      <c r="AA15" s="11">
        <f>AA12+AA14</f>
        <v>2350339143</v>
      </c>
      <c r="AB15" s="12">
        <f>AB12+AB14</f>
        <v>2103562215</v>
      </c>
      <c r="AC15" s="56"/>
      <c r="AD15" s="86" t="s">
        <v>294</v>
      </c>
      <c r="AE15" s="52">
        <f>C21</f>
        <v>0</v>
      </c>
      <c r="AF15" s="52">
        <f>D21</f>
        <v>0</v>
      </c>
      <c r="AG15" s="52">
        <f>E21</f>
        <v>0</v>
      </c>
    </row>
    <row r="16" spans="1:33" ht="13.8" thickBot="1" x14ac:dyDescent="0.3">
      <c r="A16" s="460" t="s">
        <v>161</v>
      </c>
      <c r="B16" s="460" t="s">
        <v>26</v>
      </c>
      <c r="C16" s="461">
        <f>'Felhalmozási bevételek'!H15</f>
        <v>0</v>
      </c>
      <c r="D16" s="461">
        <v>0</v>
      </c>
      <c r="E16" s="461">
        <f>C16</f>
        <v>0</v>
      </c>
      <c r="F16" s="461">
        <v>0</v>
      </c>
      <c r="G16" s="461">
        <v>0</v>
      </c>
      <c r="H16" s="461">
        <f>F16</f>
        <v>0</v>
      </c>
      <c r="I16" s="461">
        <v>0</v>
      </c>
      <c r="J16" s="461">
        <v>0</v>
      </c>
      <c r="K16" s="461">
        <f>I16</f>
        <v>0</v>
      </c>
      <c r="L16" s="70"/>
      <c r="M16" s="8"/>
      <c r="N16" s="101"/>
      <c r="O16" s="102"/>
      <c r="P16" s="102"/>
      <c r="Q16" s="103"/>
      <c r="R16" s="102"/>
      <c r="S16" s="102"/>
      <c r="T16" s="103"/>
      <c r="U16" s="102"/>
      <c r="V16" s="102"/>
      <c r="W16" s="103"/>
      <c r="X16" s="8"/>
      <c r="Y16" s="17" t="s">
        <v>17</v>
      </c>
      <c r="Z16" s="58"/>
      <c r="AA16" s="58"/>
      <c r="AB16" s="663"/>
      <c r="AC16" s="56"/>
      <c r="AD16" s="57" t="s">
        <v>215</v>
      </c>
      <c r="AE16" s="12">
        <f>SUM(AE14:AE15)</f>
        <v>0</v>
      </c>
      <c r="AF16" s="12">
        <f>SUM(AF14:AF15)</f>
        <v>0</v>
      </c>
      <c r="AG16" s="12">
        <f>SUM(AG14:AG15)</f>
        <v>0</v>
      </c>
    </row>
    <row r="17" spans="1:33" ht="13.8" thickBot="1" x14ac:dyDescent="0.3">
      <c r="A17" s="6"/>
      <c r="B17" s="5" t="s">
        <v>34</v>
      </c>
      <c r="C17" s="12">
        <f t="shared" ref="C17:H17" si="5">SUM(C13:C16)</f>
        <v>150000000</v>
      </c>
      <c r="D17" s="12">
        <f t="shared" si="5"/>
        <v>150000000</v>
      </c>
      <c r="E17" s="12">
        <f t="shared" si="5"/>
        <v>0</v>
      </c>
      <c r="F17" s="12">
        <f t="shared" si="5"/>
        <v>150000000</v>
      </c>
      <c r="G17" s="12">
        <f t="shared" si="5"/>
        <v>150000000</v>
      </c>
      <c r="H17" s="12">
        <f t="shared" si="5"/>
        <v>0</v>
      </c>
      <c r="I17" s="12">
        <f t="shared" ref="I17:K17" si="6">SUM(I13:I16)</f>
        <v>36658738</v>
      </c>
      <c r="J17" s="12">
        <f t="shared" si="6"/>
        <v>36658738</v>
      </c>
      <c r="K17" s="12">
        <f t="shared" si="6"/>
        <v>0</v>
      </c>
      <c r="L17" s="97"/>
      <c r="M17" s="62"/>
      <c r="N17" s="101"/>
      <c r="O17" s="102"/>
      <c r="P17" s="102"/>
      <c r="Q17" s="103"/>
      <c r="R17" s="102"/>
      <c r="S17" s="102"/>
      <c r="T17" s="103"/>
      <c r="U17" s="102"/>
      <c r="V17" s="102"/>
      <c r="W17" s="103"/>
      <c r="X17" s="8"/>
      <c r="Y17" s="18" t="s">
        <v>19</v>
      </c>
      <c r="Z17" s="59">
        <f>O6</f>
        <v>2085808257</v>
      </c>
      <c r="AA17" s="59">
        <f>R6</f>
        <v>2201356708</v>
      </c>
      <c r="AB17" s="664">
        <f>U6</f>
        <v>1933456286</v>
      </c>
      <c r="AC17" s="56"/>
      <c r="AD17" s="93" t="s">
        <v>200</v>
      </c>
      <c r="AE17" s="12">
        <f>'Felhalmozási bevételek'!K15-1</f>
        <v>14020854</v>
      </c>
      <c r="AF17" s="12">
        <f>F18-AA14</f>
        <v>19582074</v>
      </c>
      <c r="AG17" s="12">
        <f>I18</f>
        <v>354435719</v>
      </c>
    </row>
    <row r="18" spans="1:33" ht="13.8" thickBot="1" x14ac:dyDescent="0.3">
      <c r="A18" s="460" t="s">
        <v>128</v>
      </c>
      <c r="B18" s="460" t="s">
        <v>214</v>
      </c>
      <c r="C18" s="461">
        <f>'Működési bevételek'!K64+'Felhalmozási bevételek'!K15</f>
        <v>135496606</v>
      </c>
      <c r="D18" s="461">
        <f>C18-E18</f>
        <v>135496606</v>
      </c>
      <c r="E18" s="461">
        <v>0</v>
      </c>
      <c r="F18" s="461">
        <v>354435719</v>
      </c>
      <c r="G18" s="461">
        <f>F18-H18</f>
        <v>352645953</v>
      </c>
      <c r="H18" s="461">
        <v>1789766</v>
      </c>
      <c r="I18" s="461">
        <f>'Működési bevételek'!K66+'Működési bevételek'!I86+'Felhalmozási bevételek'!K19</f>
        <v>354435719</v>
      </c>
      <c r="J18" s="461">
        <f>I18-K18</f>
        <v>350825921</v>
      </c>
      <c r="K18" s="461">
        <v>3609798</v>
      </c>
      <c r="L18" s="70"/>
      <c r="M18" s="62"/>
      <c r="N18" s="101"/>
      <c r="O18" s="102"/>
      <c r="P18" s="102"/>
      <c r="Q18" s="103"/>
      <c r="R18" s="102"/>
      <c r="S18" s="102"/>
      <c r="T18" s="103"/>
      <c r="U18" s="102"/>
      <c r="V18" s="102"/>
      <c r="W18" s="103"/>
      <c r="X18" s="8"/>
      <c r="Y18" s="112" t="s">
        <v>583</v>
      </c>
      <c r="Z18" s="15">
        <f>O7+O12</f>
        <v>112833976</v>
      </c>
      <c r="AA18" s="15">
        <f>R7</f>
        <v>148982435</v>
      </c>
      <c r="AB18" s="68">
        <f>U7</f>
        <v>17544519</v>
      </c>
      <c r="AC18" s="56"/>
      <c r="AD18" s="7"/>
      <c r="AE18" s="53"/>
      <c r="AF18" s="53"/>
      <c r="AG18" s="52"/>
    </row>
    <row r="19" spans="1:33" ht="40.200000000000003" thickBot="1" x14ac:dyDescent="0.3">
      <c r="A19" s="460" t="s">
        <v>164</v>
      </c>
      <c r="B19" s="462" t="s">
        <v>192</v>
      </c>
      <c r="C19" s="461">
        <f>'Felhalmozási bevételek'!I15</f>
        <v>0</v>
      </c>
      <c r="D19" s="461">
        <v>0</v>
      </c>
      <c r="E19" s="461">
        <v>0</v>
      </c>
      <c r="F19" s="461">
        <v>0</v>
      </c>
      <c r="G19" s="461">
        <v>0</v>
      </c>
      <c r="H19" s="461">
        <v>0</v>
      </c>
      <c r="I19" s="461">
        <v>0</v>
      </c>
      <c r="J19" s="461">
        <v>0</v>
      </c>
      <c r="K19" s="461">
        <v>0</v>
      </c>
      <c r="L19" s="70"/>
      <c r="M19" s="8"/>
      <c r="N19" s="101"/>
      <c r="O19" s="102"/>
      <c r="P19" s="102"/>
      <c r="Q19" s="103"/>
      <c r="R19" s="102"/>
      <c r="S19" s="102"/>
      <c r="T19" s="103"/>
      <c r="U19" s="102"/>
      <c r="V19" s="102"/>
      <c r="W19" s="103"/>
      <c r="X19" s="8"/>
      <c r="Y19" s="5" t="s">
        <v>24</v>
      </c>
      <c r="Z19" s="11">
        <f>SUM(Z17:Z18)</f>
        <v>2198642233</v>
      </c>
      <c r="AA19" s="11">
        <f>SUM(AA17:AA18)</f>
        <v>2350339143</v>
      </c>
      <c r="AB19" s="12">
        <f>SUM(AB17:AB18)</f>
        <v>1951000805</v>
      </c>
      <c r="AC19" s="56"/>
      <c r="AD19" s="5" t="s">
        <v>60</v>
      </c>
      <c r="AE19" s="11">
        <f>O9</f>
        <v>164020854</v>
      </c>
      <c r="AF19" s="11">
        <f>R9</f>
        <v>169582074</v>
      </c>
      <c r="AG19" s="12">
        <f>U9</f>
        <v>47271264</v>
      </c>
    </row>
    <row r="20" spans="1:33" ht="13.8" thickBot="1" x14ac:dyDescent="0.3">
      <c r="A20" s="6"/>
      <c r="B20" s="5" t="s">
        <v>32</v>
      </c>
      <c r="C20" s="12">
        <f t="shared" ref="C20:H20" si="7">C12+C18+C17</f>
        <v>2362663087</v>
      </c>
      <c r="D20" s="12">
        <f t="shared" si="7"/>
        <v>2342962247</v>
      </c>
      <c r="E20" s="12">
        <f t="shared" si="7"/>
        <v>19700840</v>
      </c>
      <c r="F20" s="12">
        <f t="shared" si="7"/>
        <v>2519921217</v>
      </c>
      <c r="G20" s="12">
        <f t="shared" si="7"/>
        <v>2498771451</v>
      </c>
      <c r="H20" s="12">
        <f t="shared" si="7"/>
        <v>21149766</v>
      </c>
      <c r="I20" s="12">
        <f t="shared" ref="I20:K20" si="8">I12+I18+I17</f>
        <v>2494656672</v>
      </c>
      <c r="J20" s="12">
        <f t="shared" si="8"/>
        <v>2477112153</v>
      </c>
      <c r="K20" s="12">
        <f t="shared" si="8"/>
        <v>17544519</v>
      </c>
      <c r="L20" s="97"/>
      <c r="M20" s="62"/>
      <c r="N20" s="101"/>
      <c r="O20" s="102"/>
      <c r="P20" s="102"/>
      <c r="Q20" s="103"/>
      <c r="R20" s="102"/>
      <c r="S20" s="102"/>
      <c r="T20" s="103"/>
      <c r="U20" s="102"/>
      <c r="V20" s="102"/>
      <c r="W20" s="103"/>
      <c r="X20" s="8"/>
      <c r="Y20" s="60"/>
      <c r="Z20" s="61"/>
      <c r="AA20" s="61"/>
      <c r="AB20" s="662"/>
      <c r="AC20" s="56"/>
      <c r="AD20" s="7"/>
      <c r="AE20" s="54"/>
      <c r="AF20" s="54"/>
      <c r="AG20" s="66"/>
    </row>
    <row r="21" spans="1:33" ht="13.8" thickBot="1" x14ac:dyDescent="0.3">
      <c r="A21" s="460" t="s">
        <v>199</v>
      </c>
      <c r="B21" s="460" t="s">
        <v>284</v>
      </c>
      <c r="C21" s="461">
        <v>0</v>
      </c>
      <c r="D21" s="461">
        <f>C21</f>
        <v>0</v>
      </c>
      <c r="E21" s="461">
        <v>0</v>
      </c>
      <c r="F21" s="461">
        <v>0</v>
      </c>
      <c r="G21" s="461">
        <f>F21</f>
        <v>0</v>
      </c>
      <c r="H21" s="461">
        <v>0</v>
      </c>
      <c r="I21" s="461">
        <v>0</v>
      </c>
      <c r="J21" s="461">
        <f>I21</f>
        <v>0</v>
      </c>
      <c r="K21" s="461">
        <v>0</v>
      </c>
      <c r="L21" s="70"/>
      <c r="M21" s="8"/>
      <c r="N21" s="104"/>
      <c r="O21" s="105"/>
      <c r="P21" s="105"/>
      <c r="Q21" s="106"/>
      <c r="R21" s="105"/>
      <c r="S21" s="105"/>
      <c r="T21" s="106"/>
      <c r="U21" s="105"/>
      <c r="V21" s="105"/>
      <c r="W21" s="106"/>
      <c r="X21" s="8"/>
      <c r="Y21" s="5" t="s">
        <v>61</v>
      </c>
      <c r="Z21" s="11">
        <v>0</v>
      </c>
      <c r="AA21" s="11">
        <v>0</v>
      </c>
      <c r="AB21" s="12">
        <v>0</v>
      </c>
      <c r="AC21" s="56"/>
      <c r="AD21" s="7"/>
      <c r="AE21" s="9"/>
      <c r="AF21" s="9"/>
      <c r="AG21" s="67"/>
    </row>
    <row r="22" spans="1:33" ht="13.8" thickBot="1" x14ac:dyDescent="0.3">
      <c r="A22" s="460" t="s">
        <v>129</v>
      </c>
      <c r="B22" s="460" t="s">
        <v>285</v>
      </c>
      <c r="C22" s="461">
        <v>0</v>
      </c>
      <c r="D22" s="461"/>
      <c r="E22" s="461"/>
      <c r="F22" s="461">
        <v>0</v>
      </c>
      <c r="G22" s="461"/>
      <c r="H22" s="461"/>
      <c r="I22" s="461">
        <v>0</v>
      </c>
      <c r="J22" s="461"/>
      <c r="K22" s="461"/>
      <c r="L22" s="70"/>
      <c r="M22" s="8"/>
      <c r="N22" s="104"/>
      <c r="O22" s="105"/>
      <c r="P22" s="105"/>
      <c r="Q22" s="106"/>
      <c r="R22" s="105"/>
      <c r="S22" s="105"/>
      <c r="T22" s="106"/>
      <c r="U22" s="105"/>
      <c r="V22" s="105"/>
      <c r="W22" s="106"/>
      <c r="X22" s="8"/>
      <c r="Y22" s="60"/>
      <c r="Z22" s="61"/>
      <c r="AA22" s="61"/>
      <c r="AB22" s="662"/>
      <c r="AC22" s="56"/>
      <c r="AD22" s="13"/>
      <c r="AE22" s="53"/>
      <c r="AF22" s="53"/>
      <c r="AG22" s="52"/>
    </row>
    <row r="23" spans="1:33" ht="13.8" thickBot="1" x14ac:dyDescent="0.3">
      <c r="A23" s="460" t="s">
        <v>167</v>
      </c>
      <c r="B23" s="462" t="s">
        <v>168</v>
      </c>
      <c r="C23" s="461">
        <v>0</v>
      </c>
      <c r="D23" s="461">
        <f>C23</f>
        <v>0</v>
      </c>
      <c r="E23" s="461">
        <v>0</v>
      </c>
      <c r="F23" s="461">
        <v>0</v>
      </c>
      <c r="G23" s="461">
        <f>F23</f>
        <v>0</v>
      </c>
      <c r="H23" s="461">
        <v>0</v>
      </c>
      <c r="I23" s="461">
        <v>0</v>
      </c>
      <c r="J23" s="461">
        <f>I23</f>
        <v>0</v>
      </c>
      <c r="K23" s="461">
        <v>0</v>
      </c>
      <c r="L23" s="70"/>
      <c r="M23" s="8"/>
      <c r="N23" s="101"/>
      <c r="O23" s="102"/>
      <c r="P23" s="102"/>
      <c r="Q23" s="103"/>
      <c r="R23" s="102"/>
      <c r="S23" s="102"/>
      <c r="T23" s="103"/>
      <c r="U23" s="102"/>
      <c r="V23" s="102"/>
      <c r="W23" s="103"/>
      <c r="X23" s="8"/>
      <c r="Y23" s="5" t="s">
        <v>60</v>
      </c>
      <c r="Z23" s="11">
        <f>SUM(Z19:Z22)</f>
        <v>2198642233</v>
      </c>
      <c r="AA23" s="11">
        <f>SUM(AA19:AA22)</f>
        <v>2350339143</v>
      </c>
      <c r="AB23" s="12">
        <f>SUM(AB19:AB22)</f>
        <v>1951000805</v>
      </c>
      <c r="AC23" s="56"/>
      <c r="AD23" s="5"/>
      <c r="AE23" s="11"/>
      <c r="AF23" s="11"/>
      <c r="AG23" s="12"/>
    </row>
    <row r="24" spans="1:33" ht="13.8" thickBot="1" x14ac:dyDescent="0.3">
      <c r="A24" s="6"/>
      <c r="B24" s="462"/>
      <c r="C24" s="461"/>
      <c r="D24" s="461"/>
      <c r="E24" s="461"/>
      <c r="F24" s="461"/>
      <c r="G24" s="461"/>
      <c r="H24" s="461"/>
      <c r="I24" s="461"/>
      <c r="J24" s="461"/>
      <c r="K24" s="461"/>
      <c r="L24" s="70"/>
      <c r="M24" s="8"/>
      <c r="N24" s="107"/>
      <c r="O24" s="102"/>
      <c r="P24" s="102"/>
      <c r="Q24" s="103"/>
      <c r="R24" s="102"/>
      <c r="S24" s="102"/>
      <c r="T24" s="103"/>
      <c r="U24" s="102"/>
      <c r="V24" s="102"/>
      <c r="W24" s="103"/>
      <c r="X24" s="8"/>
      <c r="Y24" s="60"/>
      <c r="Z24" s="19"/>
      <c r="AA24" s="19"/>
      <c r="AB24" s="665"/>
      <c r="AC24" s="56"/>
      <c r="AD24" s="5"/>
      <c r="AE24" s="11"/>
      <c r="AF24" s="11"/>
      <c r="AG24" s="12"/>
    </row>
    <row r="25" spans="1:33" ht="13.8" thickBot="1" x14ac:dyDescent="0.3">
      <c r="A25" s="460" t="s">
        <v>169</v>
      </c>
      <c r="B25" s="5" t="s">
        <v>138</v>
      </c>
      <c r="C25" s="11">
        <f t="shared" ref="C25:H25" si="9">SUM(C21:C24)</f>
        <v>0</v>
      </c>
      <c r="D25" s="11">
        <f t="shared" si="9"/>
        <v>0</v>
      </c>
      <c r="E25" s="11">
        <f t="shared" si="9"/>
        <v>0</v>
      </c>
      <c r="F25" s="11">
        <f t="shared" si="9"/>
        <v>0</v>
      </c>
      <c r="G25" s="11">
        <f t="shared" si="9"/>
        <v>0</v>
      </c>
      <c r="H25" s="11">
        <f t="shared" si="9"/>
        <v>0</v>
      </c>
      <c r="I25" s="12">
        <f t="shared" ref="I25:K25" si="10">SUM(I21:I24)</f>
        <v>0</v>
      </c>
      <c r="J25" s="12">
        <f t="shared" si="10"/>
        <v>0</v>
      </c>
      <c r="K25" s="12">
        <f t="shared" si="10"/>
        <v>0</v>
      </c>
      <c r="L25" s="70"/>
      <c r="M25" s="8"/>
      <c r="N25" s="101"/>
      <c r="O25" s="102"/>
      <c r="P25" s="102"/>
      <c r="Q25" s="103"/>
      <c r="R25" s="102"/>
      <c r="S25" s="102"/>
      <c r="T25" s="103"/>
      <c r="U25" s="102"/>
      <c r="V25" s="102"/>
      <c r="W25" s="103"/>
      <c r="X25" s="8"/>
      <c r="Y25" s="7"/>
      <c r="Z25" s="7"/>
      <c r="AA25" s="7"/>
      <c r="AB25" s="16"/>
      <c r="AC25" s="56"/>
      <c r="AD25" s="5"/>
      <c r="AE25" s="11"/>
      <c r="AF25" s="11"/>
      <c r="AG25" s="12"/>
    </row>
    <row r="26" spans="1:33" ht="13.8" thickBot="1" x14ac:dyDescent="0.3">
      <c r="A26" s="6"/>
      <c r="B26" s="5"/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  <c r="J26" s="12">
        <v>0</v>
      </c>
      <c r="K26" s="12">
        <v>0</v>
      </c>
      <c r="L26" s="70"/>
      <c r="M26" s="8"/>
      <c r="N26" s="101"/>
      <c r="O26" s="102"/>
      <c r="P26" s="102"/>
      <c r="Q26" s="103"/>
      <c r="R26" s="102"/>
      <c r="S26" s="102"/>
      <c r="T26" s="103"/>
      <c r="U26" s="102"/>
      <c r="V26" s="102"/>
      <c r="W26" s="103"/>
      <c r="X26" s="8"/>
      <c r="Y26" s="7"/>
      <c r="Z26" s="7"/>
      <c r="AA26" s="7"/>
      <c r="AB26" s="16"/>
      <c r="AC26" s="56"/>
      <c r="AD26" s="6" t="s">
        <v>62</v>
      </c>
      <c r="AE26" s="11">
        <f>AE11+AE12+AE17-AE19</f>
        <v>0</v>
      </c>
      <c r="AF26" s="11">
        <f>AF11+AF12+AF17-AF19</f>
        <v>0</v>
      </c>
      <c r="AG26" s="12">
        <f>AG11+AG12+AG17-AG19</f>
        <v>343823193</v>
      </c>
    </row>
    <row r="27" spans="1:33" ht="13.8" thickBot="1" x14ac:dyDescent="0.3">
      <c r="A27" s="6"/>
      <c r="B27" s="5" t="s">
        <v>35</v>
      </c>
      <c r="C27" s="11">
        <f>C26+C25+C20</f>
        <v>2362663087</v>
      </c>
      <c r="D27" s="11">
        <f>D20+D25+D26</f>
        <v>2342962247</v>
      </c>
      <c r="E27" s="11">
        <f>E20+E25+E26</f>
        <v>19700840</v>
      </c>
      <c r="F27" s="11">
        <f>F26+F25+F20</f>
        <v>2519921217</v>
      </c>
      <c r="G27" s="11">
        <f>G20+G25+G26</f>
        <v>2498771451</v>
      </c>
      <c r="H27" s="11">
        <f>H20+H25+H26</f>
        <v>21149766</v>
      </c>
      <c r="I27" s="12">
        <f>I26+I25+I20</f>
        <v>2494656672</v>
      </c>
      <c r="J27" s="12">
        <f>J20+J25+J26</f>
        <v>2477112153</v>
      </c>
      <c r="K27" s="12">
        <f>K20+K25+K26</f>
        <v>17544519</v>
      </c>
      <c r="L27" s="96"/>
      <c r="M27" s="8"/>
      <c r="N27" s="101"/>
      <c r="O27" s="102"/>
      <c r="P27" s="102"/>
      <c r="Q27" s="103"/>
      <c r="R27" s="102"/>
      <c r="S27" s="102"/>
      <c r="T27" s="103"/>
      <c r="U27" s="102"/>
      <c r="V27" s="102"/>
      <c r="W27" s="103"/>
      <c r="X27" s="8"/>
      <c r="Y27" s="6" t="s">
        <v>62</v>
      </c>
      <c r="Z27" s="11">
        <f>Z15-Z23</f>
        <v>0</v>
      </c>
      <c r="AA27" s="11">
        <f>AA15-AA23</f>
        <v>0</v>
      </c>
      <c r="AB27" s="12">
        <f>AB15-AB23</f>
        <v>152561410</v>
      </c>
      <c r="AC27" s="56"/>
    </row>
    <row r="28" spans="1:33" ht="40.200000000000003" thickBot="1" x14ac:dyDescent="0.3">
      <c r="A28" s="6"/>
      <c r="B28" s="84" t="s">
        <v>101</v>
      </c>
      <c r="C28" s="85"/>
      <c r="D28" s="85">
        <f>P30</f>
        <v>0</v>
      </c>
      <c r="E28" s="85"/>
      <c r="F28" s="85"/>
      <c r="G28" s="85">
        <f>Y30</f>
        <v>0</v>
      </c>
      <c r="H28" s="85"/>
      <c r="I28" s="657"/>
      <c r="J28" s="657">
        <f>AC30</f>
        <v>0</v>
      </c>
      <c r="K28" s="657"/>
      <c r="L28" s="96"/>
      <c r="M28" s="8"/>
      <c r="N28" s="108"/>
      <c r="O28" s="109"/>
      <c r="P28" s="109"/>
      <c r="Q28" s="110"/>
      <c r="R28" s="109"/>
      <c r="S28" s="109"/>
      <c r="T28" s="110"/>
      <c r="U28" s="109"/>
      <c r="V28" s="109"/>
      <c r="W28" s="110"/>
      <c r="X28" s="8"/>
      <c r="Z28" s="4"/>
      <c r="AA28" s="4"/>
      <c r="AB28" s="659"/>
      <c r="AC28" s="56"/>
    </row>
    <row r="29" spans="1:33" ht="13.8" thickBot="1" x14ac:dyDescent="0.3">
      <c r="A29" s="20"/>
      <c r="B29" s="20"/>
      <c r="C29" s="21"/>
      <c r="D29" s="21"/>
      <c r="E29" s="21"/>
      <c r="F29" s="21"/>
      <c r="G29" s="21"/>
      <c r="H29" s="21"/>
      <c r="I29" s="658"/>
      <c r="J29" s="658"/>
      <c r="K29" s="658"/>
      <c r="L29" s="96"/>
      <c r="N29" s="5" t="s">
        <v>36</v>
      </c>
      <c r="O29" s="11">
        <f t="shared" ref="O29:T29" si="11">O8+O9+O11+O12+O13</f>
        <v>2362663087</v>
      </c>
      <c r="P29" s="11">
        <f t="shared" si="11"/>
        <v>2342962247</v>
      </c>
      <c r="Q29" s="11">
        <f t="shared" si="11"/>
        <v>19700840</v>
      </c>
      <c r="R29" s="11">
        <f t="shared" si="11"/>
        <v>2519921217</v>
      </c>
      <c r="S29" s="11">
        <f t="shared" si="11"/>
        <v>2498771451</v>
      </c>
      <c r="T29" s="11">
        <f t="shared" si="11"/>
        <v>21149766</v>
      </c>
      <c r="U29" s="12">
        <f t="shared" ref="U29:W29" si="12">U8+U9+U11+U12+U13</f>
        <v>1998272069</v>
      </c>
      <c r="V29" s="12">
        <f t="shared" si="12"/>
        <v>1980727550</v>
      </c>
      <c r="W29" s="12">
        <f t="shared" si="12"/>
        <v>17544519</v>
      </c>
      <c r="Y29" s="3" t="s">
        <v>63</v>
      </c>
      <c r="Z29" s="55">
        <v>0</v>
      </c>
      <c r="AA29" s="55">
        <v>0</v>
      </c>
      <c r="AB29" s="242">
        <f>AB27</f>
        <v>152561410</v>
      </c>
      <c r="AC29" s="661"/>
      <c r="AD29" s="55"/>
      <c r="AE29" s="55">
        <v>0</v>
      </c>
      <c r="AF29" s="3">
        <v>0</v>
      </c>
      <c r="AG29" s="55">
        <f>AG26</f>
        <v>343823193</v>
      </c>
    </row>
    <row r="30" spans="1:33" ht="40.200000000000003" thickBot="1" x14ac:dyDescent="0.3">
      <c r="A30" s="20"/>
      <c r="B30" s="22"/>
      <c r="C30" s="4"/>
      <c r="D30" s="4"/>
      <c r="E30" s="4"/>
      <c r="F30" s="4"/>
      <c r="G30" s="4"/>
      <c r="H30" s="4"/>
      <c r="I30" s="659"/>
      <c r="J30" s="659"/>
      <c r="K30" s="659"/>
      <c r="L30" s="21"/>
      <c r="N30" s="84" t="s">
        <v>101</v>
      </c>
      <c r="O30" s="6"/>
      <c r="P30" s="85">
        <v>0</v>
      </c>
      <c r="Q30" s="6"/>
      <c r="R30" s="6"/>
      <c r="S30" s="85">
        <v>0</v>
      </c>
      <c r="T30" s="6"/>
      <c r="U30" s="660"/>
      <c r="V30" s="657">
        <v>0</v>
      </c>
      <c r="W30" s="660"/>
      <c r="Y30" s="4"/>
      <c r="Z30" s="4"/>
      <c r="AA30" s="4"/>
      <c r="AB30" s="4"/>
    </row>
    <row r="31" spans="1:33" x14ac:dyDescent="0.25">
      <c r="E31" s="3" t="s">
        <v>63</v>
      </c>
      <c r="F31" s="3"/>
      <c r="G31" s="3"/>
      <c r="H31" s="3"/>
      <c r="I31" s="242">
        <f>I27-U29</f>
        <v>496384603</v>
      </c>
      <c r="J31" s="50"/>
      <c r="K31" s="50"/>
      <c r="L31" s="4"/>
      <c r="M31" s="217">
        <f>O29-C27</f>
        <v>0</v>
      </c>
      <c r="O31" s="4"/>
      <c r="P31" s="4"/>
      <c r="Q31" s="4"/>
      <c r="R31" s="4"/>
      <c r="S31" s="4"/>
      <c r="T31" s="4"/>
      <c r="U31" s="4"/>
      <c r="V31" s="4"/>
      <c r="W31" s="4"/>
      <c r="Z31" s="4"/>
      <c r="AA31" s="4"/>
      <c r="AB31" s="4"/>
    </row>
    <row r="32" spans="1:33" x14ac:dyDescent="0.25">
      <c r="I32" s="1"/>
      <c r="J32" s="1"/>
      <c r="K32" s="1"/>
      <c r="L32" s="8"/>
      <c r="N32" s="4"/>
      <c r="O32" s="8"/>
      <c r="P32" s="4"/>
    </row>
    <row r="33" spans="1:23" x14ac:dyDescent="0.25">
      <c r="A33" s="8" t="s">
        <v>1019</v>
      </c>
      <c r="C33" s="4"/>
      <c r="F33" s="217">
        <f>F27-F18</f>
        <v>2165485498</v>
      </c>
      <c r="G33" s="217">
        <f t="shared" ref="G33:H33" si="13">G27-G18</f>
        <v>2146125498</v>
      </c>
      <c r="H33" s="217">
        <f t="shared" si="13"/>
        <v>19360000</v>
      </c>
      <c r="I33" s="219">
        <f>I27-I18</f>
        <v>2140220953</v>
      </c>
      <c r="J33" s="219">
        <f t="shared" ref="J33:K33" si="14">J27-J18</f>
        <v>2126286232</v>
      </c>
      <c r="K33" s="219">
        <f t="shared" si="14"/>
        <v>13934721</v>
      </c>
      <c r="M33" s="4"/>
    </row>
    <row r="34" spans="1:23" x14ac:dyDescent="0.25">
      <c r="M34" s="8"/>
      <c r="N34" s="4"/>
      <c r="P34" s="4"/>
    </row>
    <row r="35" spans="1:23" x14ac:dyDescent="0.25">
      <c r="C35" s="4"/>
      <c r="D35" s="217">
        <f>C27-C18</f>
        <v>2227166481</v>
      </c>
      <c r="M35" s="62"/>
      <c r="N35" s="4"/>
      <c r="O35" s="217">
        <f>O7+O13+O11+O12</f>
        <v>112833976</v>
      </c>
      <c r="P35" s="8"/>
    </row>
    <row r="36" spans="1:23" x14ac:dyDescent="0.25">
      <c r="C36" s="4"/>
      <c r="D36" s="217">
        <f>D27-D18</f>
        <v>2207465641</v>
      </c>
      <c r="M36" s="8"/>
      <c r="N36" s="4"/>
      <c r="O36" s="217">
        <f>O8+O11+O12+O13</f>
        <v>2198642233</v>
      </c>
      <c r="P36" s="8"/>
    </row>
    <row r="37" spans="1:23" x14ac:dyDescent="0.25">
      <c r="C37" s="4"/>
      <c r="M37" s="8"/>
      <c r="N37" s="4"/>
      <c r="P37" s="8"/>
    </row>
    <row r="38" spans="1:23" x14ac:dyDescent="0.25">
      <c r="C38" s="4"/>
      <c r="M38" s="8"/>
      <c r="N38" s="115"/>
      <c r="P38" s="8"/>
    </row>
    <row r="39" spans="1:23" x14ac:dyDescent="0.25">
      <c r="M39" s="8"/>
      <c r="N39" s="116"/>
      <c r="P39" s="8"/>
      <c r="Q39" s="8"/>
      <c r="R39" s="8"/>
      <c r="S39" s="8"/>
      <c r="T39" s="8"/>
      <c r="U39" s="8"/>
      <c r="V39" s="8"/>
      <c r="W39" s="8"/>
    </row>
  </sheetData>
  <mergeCells count="3">
    <mergeCell ref="N3:O3"/>
    <mergeCell ref="D4:E4"/>
    <mergeCell ref="P4:Q4"/>
  </mergeCells>
  <pageMargins left="0.74803149606299213" right="0.74803149606299213" top="0.31496062992125984" bottom="0.27559055118110237" header="0.15748031496062992" footer="0.31496062992125984"/>
  <pageSetup paperSize="8" orientation="landscape" r:id="rId1"/>
  <headerFooter alignWithMargins="0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8"/>
  <sheetViews>
    <sheetView zoomScale="120" zoomScaleNormal="120" workbookViewId="0">
      <selection activeCell="K56" sqref="K56"/>
    </sheetView>
  </sheetViews>
  <sheetFormatPr defaultRowHeight="13.2" x14ac:dyDescent="0.25"/>
  <cols>
    <col min="1" max="1" width="2.6640625" style="1" customWidth="1"/>
    <col min="2" max="2" width="2.88671875" style="8" customWidth="1"/>
    <col min="3" max="3" width="9.109375" style="8"/>
    <col min="4" max="4" width="10.109375" style="8" customWidth="1"/>
    <col min="5" max="5" width="12.6640625" style="8" customWidth="1"/>
    <col min="6" max="6" width="16" style="8" customWidth="1"/>
    <col min="7" max="7" width="15" style="8" customWidth="1"/>
    <col min="8" max="8" width="14.88671875" style="8" customWidth="1"/>
    <col min="9" max="9" width="14.5546875" style="8" customWidth="1"/>
    <col min="10" max="10" width="15.6640625" style="8" customWidth="1"/>
    <col min="11" max="11" width="14" style="8" customWidth="1"/>
    <col min="12" max="12" width="17.33203125" style="8" customWidth="1"/>
    <col min="13" max="13" width="14.33203125" style="50" customWidth="1"/>
    <col min="14" max="14" width="15.109375" style="216" customWidth="1"/>
    <col min="15" max="16" width="13.33203125" style="216" bestFit="1" customWidth="1"/>
    <col min="17" max="17" width="11.6640625" style="8" bestFit="1" customWidth="1"/>
    <col min="18" max="40" width="9.109375" style="8"/>
  </cols>
  <sheetData>
    <row r="1" spans="2:15" ht="15.6" x14ac:dyDescent="0.3">
      <c r="B1" s="3" t="s">
        <v>174</v>
      </c>
      <c r="C1" s="23"/>
      <c r="D1" s="24"/>
      <c r="E1" s="25"/>
      <c r="F1" s="26"/>
      <c r="G1" s="26"/>
      <c r="H1" s="26" t="s">
        <v>581</v>
      </c>
      <c r="I1" s="26"/>
      <c r="J1" s="26"/>
      <c r="K1" s="26"/>
      <c r="L1" s="26"/>
    </row>
    <row r="2" spans="2:15" ht="12.75" customHeight="1" thickBot="1" x14ac:dyDescent="0.3">
      <c r="B2" s="27"/>
      <c r="C2" s="3"/>
      <c r="D2" s="28"/>
      <c r="E2" s="29"/>
      <c r="F2" s="30"/>
      <c r="G2" s="30"/>
      <c r="H2" s="30"/>
      <c r="I2" s="31"/>
      <c r="J2" s="31"/>
      <c r="K2" s="728" t="s">
        <v>237</v>
      </c>
      <c r="L2" s="728"/>
      <c r="N2" s="217">
        <f t="shared" ref="N2" si="0">M7-L7</f>
        <v>0</v>
      </c>
    </row>
    <row r="3" spans="2:15" ht="12.75" customHeight="1" x14ac:dyDescent="0.25">
      <c r="B3" s="703" t="s">
        <v>37</v>
      </c>
      <c r="C3" s="704"/>
      <c r="D3" s="705"/>
      <c r="E3" s="724" t="s">
        <v>113</v>
      </c>
      <c r="F3" s="729" t="s">
        <v>114</v>
      </c>
      <c r="G3" s="729" t="s">
        <v>270</v>
      </c>
      <c r="H3" s="729" t="s">
        <v>116</v>
      </c>
      <c r="I3" s="729" t="s">
        <v>189</v>
      </c>
      <c r="J3" s="729" t="s">
        <v>117</v>
      </c>
      <c r="K3" s="729" t="s">
        <v>558</v>
      </c>
      <c r="L3" s="731" t="s">
        <v>38</v>
      </c>
      <c r="N3" s="217">
        <f>M12-L12</f>
        <v>-60200665</v>
      </c>
    </row>
    <row r="4" spans="2:15" x14ac:dyDescent="0.25">
      <c r="B4" s="706"/>
      <c r="C4" s="707"/>
      <c r="D4" s="708"/>
      <c r="E4" s="734"/>
      <c r="F4" s="726"/>
      <c r="G4" s="726"/>
      <c r="H4" s="730"/>
      <c r="I4" s="730"/>
      <c r="J4" s="730"/>
      <c r="K4" s="730"/>
      <c r="L4" s="732"/>
    </row>
    <row r="5" spans="2:15" ht="36" customHeight="1" thickBot="1" x14ac:dyDescent="0.3">
      <c r="B5" s="706"/>
      <c r="C5" s="707"/>
      <c r="D5" s="708"/>
      <c r="E5" s="734"/>
      <c r="F5" s="726"/>
      <c r="G5" s="726"/>
      <c r="H5" s="730"/>
      <c r="I5" s="730"/>
      <c r="J5" s="730"/>
      <c r="K5" s="733"/>
      <c r="L5" s="732"/>
    </row>
    <row r="6" spans="2:15" ht="18" customHeight="1" x14ac:dyDescent="0.25">
      <c r="B6" s="44"/>
      <c r="C6" s="709" t="s">
        <v>618</v>
      </c>
      <c r="D6" s="710"/>
      <c r="E6" s="145">
        <v>378000000</v>
      </c>
      <c r="F6" s="148">
        <v>578235637</v>
      </c>
      <c r="G6" s="148">
        <v>531466145</v>
      </c>
      <c r="H6" s="147">
        <v>93260360</v>
      </c>
      <c r="I6" s="147">
        <v>0</v>
      </c>
      <c r="J6" s="148">
        <v>0</v>
      </c>
      <c r="K6" s="148">
        <v>48084145</v>
      </c>
      <c r="L6" s="142">
        <f>SUM(E6:K6)</f>
        <v>1629046287</v>
      </c>
      <c r="M6" s="219">
        <f>1249720806-5715000-1120855</f>
        <v>1242884951</v>
      </c>
      <c r="N6" s="217">
        <f>K6+'Felhalmozási bevételek'!K6</f>
        <v>60000000</v>
      </c>
      <c r="O6" s="217">
        <f>N6-'[1]KESZI 2024'!$G$85</f>
        <v>-1580962143</v>
      </c>
    </row>
    <row r="7" spans="2:15" ht="13.8" thickBot="1" x14ac:dyDescent="0.3">
      <c r="B7" s="45"/>
      <c r="C7" s="719"/>
      <c r="D7" s="720"/>
      <c r="E7" s="164"/>
      <c r="F7" s="329"/>
      <c r="G7" s="329"/>
      <c r="H7" s="164"/>
      <c r="I7" s="164"/>
      <c r="J7" s="164"/>
      <c r="K7" s="164"/>
      <c r="L7" s="157"/>
      <c r="M7" s="219"/>
    </row>
    <row r="8" spans="2:15" ht="20.399999999999999" customHeight="1" x14ac:dyDescent="0.25">
      <c r="B8" s="44"/>
      <c r="C8" s="709" t="s">
        <v>620</v>
      </c>
      <c r="D8" s="710"/>
      <c r="E8" s="145">
        <v>378000000</v>
      </c>
      <c r="F8" s="148">
        <f>578235637+43099779+1935366-3158622+22149144+3642831-1653137+3330864+22154839+4353239</f>
        <v>674089940</v>
      </c>
      <c r="G8" s="148">
        <f>531466145-12652218+3572617+1+75499758+2947040+2515901+984000+2753524+2023000+894113+1473520</f>
        <v>611477401</v>
      </c>
      <c r="H8" s="145">
        <f>93260360-43099779-1935366-22149144-3642831-22154839-4353239-3152238+7227076</f>
        <v>0</v>
      </c>
      <c r="I8" s="145">
        <v>0</v>
      </c>
      <c r="J8" s="145">
        <v>0</v>
      </c>
      <c r="K8" s="142">
        <v>60736363</v>
      </c>
      <c r="L8" s="143">
        <f>SUM(E8:K8)</f>
        <v>1724303704</v>
      </c>
      <c r="M8" s="219"/>
    </row>
    <row r="9" spans="2:15" ht="13.8" thickBot="1" x14ac:dyDescent="0.3">
      <c r="B9" s="33"/>
      <c r="C9" s="711"/>
      <c r="D9" s="712"/>
      <c r="E9" s="146"/>
      <c r="F9" s="328"/>
      <c r="G9" s="328"/>
      <c r="H9" s="146"/>
      <c r="I9" s="146"/>
      <c r="J9" s="146"/>
      <c r="K9" s="143"/>
      <c r="L9" s="143"/>
      <c r="M9" s="219"/>
    </row>
    <row r="10" spans="2:15" ht="16.5" customHeight="1" x14ac:dyDescent="0.25">
      <c r="B10" s="44"/>
      <c r="C10" s="709" t="s">
        <v>690</v>
      </c>
      <c r="D10" s="710"/>
      <c r="E10" s="145">
        <v>453347511</v>
      </c>
      <c r="F10" s="148">
        <v>674089940</v>
      </c>
      <c r="G10" s="148">
        <f>F76+G76+H76+I76+J76</f>
        <v>387194988</v>
      </c>
      <c r="H10" s="145">
        <v>1886517</v>
      </c>
      <c r="I10" s="145">
        <v>5320193</v>
      </c>
      <c r="J10" s="145">
        <v>0</v>
      </c>
      <c r="K10" s="145">
        <f>72652218-'Felhalmozási bevételek'!L8</f>
        <v>60736363</v>
      </c>
      <c r="L10" s="142">
        <f>SUM(E10:K10)</f>
        <v>1582575512</v>
      </c>
      <c r="M10" s="219"/>
    </row>
    <row r="11" spans="2:15" ht="16.5" customHeight="1" thickBot="1" x14ac:dyDescent="0.3">
      <c r="B11" s="45"/>
      <c r="C11" s="719"/>
      <c r="D11" s="720"/>
      <c r="E11" s="164"/>
      <c r="F11" s="329"/>
      <c r="G11" s="329"/>
      <c r="H11" s="164"/>
      <c r="I11" s="164"/>
      <c r="J11" s="164"/>
      <c r="K11" s="164"/>
      <c r="L11" s="157"/>
      <c r="M11" s="219"/>
    </row>
    <row r="12" spans="2:15" ht="22.2" customHeight="1" x14ac:dyDescent="0.25">
      <c r="B12" s="33"/>
      <c r="C12" s="711" t="s">
        <v>619</v>
      </c>
      <c r="D12" s="712"/>
      <c r="E12" s="146">
        <v>4500000</v>
      </c>
      <c r="F12" s="328">
        <v>271843251</v>
      </c>
      <c r="G12" s="328">
        <v>83902218</v>
      </c>
      <c r="H12" s="433">
        <v>85421500</v>
      </c>
      <c r="I12" s="433">
        <v>0</v>
      </c>
      <c r="J12" s="328">
        <v>0</v>
      </c>
      <c r="K12" s="328">
        <v>11095000</v>
      </c>
      <c r="L12" s="143">
        <f>SUM(E12:K12)</f>
        <v>456761969</v>
      </c>
      <c r="M12" s="219">
        <f>398061304-1500000</f>
        <v>396561304</v>
      </c>
      <c r="N12" s="217">
        <f>K12+'Felhalmozási bevételek'!K9</f>
        <v>13000000</v>
      </c>
      <c r="O12" s="217">
        <f>N12-'[1]CSGYK 2024'!$F$84</f>
        <v>-445666969</v>
      </c>
    </row>
    <row r="13" spans="2:15" ht="13.8" thickBot="1" x14ac:dyDescent="0.3">
      <c r="B13" s="33"/>
      <c r="C13" s="711"/>
      <c r="D13" s="712"/>
      <c r="E13" s="146"/>
      <c r="F13" s="146"/>
      <c r="G13" s="146"/>
      <c r="H13" s="146"/>
      <c r="I13" s="146"/>
      <c r="J13" s="146"/>
      <c r="K13" s="146"/>
      <c r="L13" s="143"/>
      <c r="M13" s="180"/>
    </row>
    <row r="14" spans="2:15" x14ac:dyDescent="0.25">
      <c r="B14" s="44"/>
      <c r="C14" s="709" t="s">
        <v>621</v>
      </c>
      <c r="D14" s="710"/>
      <c r="E14" s="145">
        <v>4500000</v>
      </c>
      <c r="F14" s="145">
        <f>271843251+35888678-84674+17696484+178439+17255870</f>
        <v>342778048</v>
      </c>
      <c r="G14" s="145">
        <f>83902218+1173931+1556953+35454887+1491210+1105140+552570</f>
        <v>125236909</v>
      </c>
      <c r="H14" s="145">
        <f>85421500-35888678-17696484-13580468-17255870</f>
        <v>1000000</v>
      </c>
      <c r="I14" s="145">
        <v>0</v>
      </c>
      <c r="J14" s="145">
        <v>0</v>
      </c>
      <c r="K14" s="145">
        <f>11443047-1905000</f>
        <v>9538047</v>
      </c>
      <c r="L14" s="142">
        <f>SUM(E14:K14)</f>
        <v>483053004</v>
      </c>
      <c r="M14" s="180"/>
    </row>
    <row r="15" spans="2:15" ht="13.8" thickBot="1" x14ac:dyDescent="0.3">
      <c r="B15" s="45"/>
      <c r="C15" s="719"/>
      <c r="D15" s="720"/>
      <c r="E15" s="164"/>
      <c r="F15" s="164"/>
      <c r="G15" s="164"/>
      <c r="H15" s="164"/>
      <c r="I15" s="164"/>
      <c r="J15" s="164"/>
      <c r="K15" s="164"/>
      <c r="L15" s="157"/>
      <c r="M15" s="180"/>
    </row>
    <row r="16" spans="2:15" x14ac:dyDescent="0.25">
      <c r="B16" s="44"/>
      <c r="C16" s="709" t="s">
        <v>691</v>
      </c>
      <c r="D16" s="710"/>
      <c r="E16" s="145">
        <v>3906148</v>
      </c>
      <c r="F16" s="145">
        <v>342778048</v>
      </c>
      <c r="G16" s="145">
        <f>444893623-342778048</f>
        <v>102115575</v>
      </c>
      <c r="H16" s="145">
        <v>4973400</v>
      </c>
      <c r="I16" s="145">
        <v>1180000</v>
      </c>
      <c r="J16" s="145">
        <v>0</v>
      </c>
      <c r="K16" s="145">
        <v>9538047</v>
      </c>
      <c r="L16" s="142">
        <f>SUM(E16:K16)</f>
        <v>464491218</v>
      </c>
      <c r="M16" s="180"/>
    </row>
    <row r="17" spans="2:15" ht="13.8" thickBot="1" x14ac:dyDescent="0.3">
      <c r="B17" s="45"/>
      <c r="C17" s="719"/>
      <c r="D17" s="720"/>
      <c r="E17" s="164"/>
      <c r="F17" s="164"/>
      <c r="G17" s="164"/>
      <c r="H17" s="164"/>
      <c r="I17" s="164"/>
      <c r="J17" s="164"/>
      <c r="K17" s="164"/>
      <c r="L17" s="157"/>
      <c r="M17" s="180"/>
    </row>
    <row r="18" spans="2:15" ht="26.4" customHeight="1" thickBot="1" x14ac:dyDescent="0.3">
      <c r="B18" s="721" t="s">
        <v>49</v>
      </c>
      <c r="C18" s="722"/>
      <c r="D18" s="723"/>
      <c r="E18" s="321">
        <f>E12+E6</f>
        <v>382500000</v>
      </c>
      <c r="F18" s="321">
        <f t="shared" ref="F18:L18" si="1">F12+F6</f>
        <v>850078888</v>
      </c>
      <c r="G18" s="321">
        <f t="shared" si="1"/>
        <v>615368363</v>
      </c>
      <c r="H18" s="321">
        <f t="shared" si="1"/>
        <v>178681860</v>
      </c>
      <c r="I18" s="321">
        <f t="shared" si="1"/>
        <v>0</v>
      </c>
      <c r="J18" s="321">
        <f t="shared" si="1"/>
        <v>0</v>
      </c>
      <c r="K18" s="321">
        <f t="shared" si="1"/>
        <v>59179145</v>
      </c>
      <c r="L18" s="322">
        <f t="shared" si="1"/>
        <v>2085808256</v>
      </c>
      <c r="M18" s="180"/>
    </row>
    <row r="19" spans="2:15" ht="24" customHeight="1" thickBot="1" x14ac:dyDescent="0.3">
      <c r="B19" s="721" t="s">
        <v>622</v>
      </c>
      <c r="C19" s="722"/>
      <c r="D19" s="723"/>
      <c r="E19" s="322">
        <f>E8+E14</f>
        <v>382500000</v>
      </c>
      <c r="F19" s="322">
        <f t="shared" ref="F19:L19" si="2">F8+F14</f>
        <v>1016867988</v>
      </c>
      <c r="G19" s="322">
        <f t="shared" si="2"/>
        <v>736714310</v>
      </c>
      <c r="H19" s="322">
        <f t="shared" si="2"/>
        <v>1000000</v>
      </c>
      <c r="I19" s="322">
        <f t="shared" si="2"/>
        <v>0</v>
      </c>
      <c r="J19" s="322">
        <f t="shared" si="2"/>
        <v>0</v>
      </c>
      <c r="K19" s="322">
        <f t="shared" si="2"/>
        <v>70274410</v>
      </c>
      <c r="L19" s="322">
        <f t="shared" si="2"/>
        <v>2207356708</v>
      </c>
      <c r="M19" s="180"/>
    </row>
    <row r="20" spans="2:15" ht="24" customHeight="1" thickBot="1" x14ac:dyDescent="0.3">
      <c r="B20" s="721" t="s">
        <v>694</v>
      </c>
      <c r="C20" s="722"/>
      <c r="D20" s="723"/>
      <c r="E20" s="322">
        <f>E10+E16</f>
        <v>457253659</v>
      </c>
      <c r="F20" s="322">
        <f t="shared" ref="F20:L20" si="3">F10+F16</f>
        <v>1016867988</v>
      </c>
      <c r="G20" s="322">
        <f t="shared" si="3"/>
        <v>489310563</v>
      </c>
      <c r="H20" s="322">
        <f t="shared" si="3"/>
        <v>6859917</v>
      </c>
      <c r="I20" s="322">
        <f t="shared" si="3"/>
        <v>6500193</v>
      </c>
      <c r="J20" s="322">
        <f t="shared" si="3"/>
        <v>0</v>
      </c>
      <c r="K20" s="322">
        <f t="shared" si="3"/>
        <v>70274410</v>
      </c>
      <c r="L20" s="322">
        <f t="shared" si="3"/>
        <v>2047066730</v>
      </c>
      <c r="M20" s="180"/>
    </row>
    <row r="21" spans="2:15" x14ac:dyDescent="0.25">
      <c r="B21" s="32"/>
      <c r="C21" s="32"/>
      <c r="D21" s="47"/>
      <c r="E21" s="48"/>
      <c r="F21" s="48"/>
      <c r="G21" s="331">
        <f>F18+G18</f>
        <v>1465447251</v>
      </c>
      <c r="H21" s="48"/>
      <c r="I21" s="48"/>
      <c r="J21" s="48"/>
      <c r="K21" s="48"/>
      <c r="L21" s="48"/>
      <c r="M21" s="180"/>
    </row>
    <row r="22" spans="2:15" ht="15.6" x14ac:dyDescent="0.3">
      <c r="B22" s="3"/>
      <c r="C22" s="23"/>
      <c r="D22" s="24"/>
      <c r="E22" s="26"/>
      <c r="F22" s="26"/>
      <c r="G22" s="49"/>
      <c r="H22" s="26"/>
      <c r="I22" s="26"/>
      <c r="J22" s="26"/>
      <c r="K22" s="26"/>
      <c r="L22" s="26"/>
    </row>
    <row r="23" spans="2:15" ht="15.6" x14ac:dyDescent="0.3">
      <c r="B23" s="3" t="s">
        <v>249</v>
      </c>
      <c r="H23" s="26" t="s">
        <v>581</v>
      </c>
      <c r="L23" s="3" t="s">
        <v>274</v>
      </c>
    </row>
    <row r="24" spans="2:15" ht="13.8" thickBot="1" x14ac:dyDescent="0.3"/>
    <row r="25" spans="2:15" ht="12.75" customHeight="1" x14ac:dyDescent="0.25">
      <c r="B25" s="724" t="s">
        <v>119</v>
      </c>
      <c r="C25" s="725"/>
      <c r="D25" s="725"/>
      <c r="E25" s="724" t="s">
        <v>113</v>
      </c>
      <c r="F25" s="729" t="s">
        <v>121</v>
      </c>
      <c r="G25" s="729" t="s">
        <v>115</v>
      </c>
      <c r="H25" s="729" t="s">
        <v>116</v>
      </c>
      <c r="I25" s="729" t="s">
        <v>190</v>
      </c>
      <c r="J25" s="729" t="s">
        <v>120</v>
      </c>
      <c r="K25" s="729" t="s">
        <v>559</v>
      </c>
      <c r="L25" s="731" t="s">
        <v>38</v>
      </c>
      <c r="M25" s="333"/>
    </row>
    <row r="26" spans="2:15" x14ac:dyDescent="0.25">
      <c r="B26" s="726"/>
      <c r="C26" s="726"/>
      <c r="D26" s="726"/>
      <c r="E26" s="734"/>
      <c r="F26" s="726"/>
      <c r="G26" s="726"/>
      <c r="H26" s="730"/>
      <c r="I26" s="730"/>
      <c r="J26" s="730"/>
      <c r="K26" s="730"/>
      <c r="L26" s="732"/>
      <c r="M26" s="333"/>
    </row>
    <row r="27" spans="2:15" ht="67.8" customHeight="1" thickBot="1" x14ac:dyDescent="0.3">
      <c r="B27" s="727"/>
      <c r="C27" s="727"/>
      <c r="D27" s="727"/>
      <c r="E27" s="734"/>
      <c r="F27" s="726"/>
      <c r="G27" s="726"/>
      <c r="H27" s="730"/>
      <c r="I27" s="730"/>
      <c r="J27" s="730"/>
      <c r="K27" s="733"/>
      <c r="L27" s="732"/>
      <c r="M27" s="333"/>
    </row>
    <row r="28" spans="2:15" ht="27" customHeight="1" thickBot="1" x14ac:dyDescent="0.3">
      <c r="B28" s="713" t="s">
        <v>624</v>
      </c>
      <c r="C28" s="714"/>
      <c r="D28" s="715"/>
      <c r="E28" s="147">
        <v>19360000</v>
      </c>
      <c r="F28" s="147">
        <v>0</v>
      </c>
      <c r="G28" s="147">
        <v>0</v>
      </c>
      <c r="H28" s="147">
        <v>31177370</v>
      </c>
      <c r="I28" s="147">
        <v>0</v>
      </c>
      <c r="J28" s="147">
        <v>0</v>
      </c>
      <c r="K28" s="149">
        <v>62296606</v>
      </c>
      <c r="L28" s="141">
        <f>E28+F28+G28+H28+I28+J28+K28</f>
        <v>112833976</v>
      </c>
      <c r="M28" s="180"/>
      <c r="N28" s="217">
        <f>K28+'Felhalmozási bevételek'!K12</f>
        <v>62496606</v>
      </c>
      <c r="O28" s="217">
        <f>N28-263033976</f>
        <v>-200537370</v>
      </c>
    </row>
    <row r="29" spans="2:15" ht="27" customHeight="1" thickBot="1" x14ac:dyDescent="0.3">
      <c r="B29" s="713" t="s">
        <v>625</v>
      </c>
      <c r="C29" s="714"/>
      <c r="D29" s="715"/>
      <c r="E29" s="147">
        <v>19360000</v>
      </c>
      <c r="F29" s="147">
        <v>0</v>
      </c>
      <c r="G29" s="147">
        <v>0</v>
      </c>
      <c r="H29" s="147">
        <v>41494000</v>
      </c>
      <c r="I29" s="147">
        <v>0</v>
      </c>
      <c r="J29" s="147">
        <v>0</v>
      </c>
      <c r="K29" s="149">
        <v>87689654</v>
      </c>
      <c r="L29" s="141">
        <f>SUM(E29:K29)</f>
        <v>148543654</v>
      </c>
      <c r="M29" s="180"/>
      <c r="N29" s="217"/>
      <c r="O29" s="217"/>
    </row>
    <row r="30" spans="2:15" ht="27" customHeight="1" thickBot="1" x14ac:dyDescent="0.3">
      <c r="B30" s="713" t="s">
        <v>695</v>
      </c>
      <c r="C30" s="714"/>
      <c r="D30" s="715"/>
      <c r="E30" s="147">
        <v>13934721</v>
      </c>
      <c r="F30" s="147">
        <v>0</v>
      </c>
      <c r="G30" s="147">
        <v>0</v>
      </c>
      <c r="H30" s="147">
        <v>241714121</v>
      </c>
      <c r="I30" s="147"/>
      <c r="J30" s="147"/>
      <c r="K30" s="149">
        <f>270340454-I76-I82-'Felhalmozási bevételek'!K14</f>
        <v>141261507</v>
      </c>
      <c r="L30" s="141">
        <f>SUM(E30:K30)</f>
        <v>396910349</v>
      </c>
      <c r="M30" s="180"/>
      <c r="N30" s="217"/>
      <c r="O30" s="217"/>
    </row>
    <row r="31" spans="2:15" ht="13.8" thickBot="1" x14ac:dyDescent="0.3">
      <c r="B31" s="716" t="s">
        <v>626</v>
      </c>
      <c r="C31" s="717"/>
      <c r="D31" s="718"/>
      <c r="E31" s="241">
        <f t="shared" ref="E31:L31" si="4">SUM(E28:E28)</f>
        <v>19360000</v>
      </c>
      <c r="F31" s="241">
        <f t="shared" si="4"/>
        <v>0</v>
      </c>
      <c r="G31" s="241">
        <f t="shared" si="4"/>
        <v>0</v>
      </c>
      <c r="H31" s="241">
        <f>SUM(H28:H28)</f>
        <v>31177370</v>
      </c>
      <c r="I31" s="241">
        <f t="shared" si="4"/>
        <v>0</v>
      </c>
      <c r="J31" s="241">
        <f t="shared" si="4"/>
        <v>0</v>
      </c>
      <c r="K31" s="241">
        <f t="shared" si="4"/>
        <v>62296606</v>
      </c>
      <c r="L31" s="241">
        <f t="shared" si="4"/>
        <v>112833976</v>
      </c>
      <c r="M31" s="180"/>
    </row>
    <row r="32" spans="2:15" ht="13.8" thickBot="1" x14ac:dyDescent="0.3">
      <c r="B32" s="716" t="s">
        <v>627</v>
      </c>
      <c r="C32" s="717"/>
      <c r="D32" s="718"/>
      <c r="E32" s="241">
        <f>E29</f>
        <v>19360000</v>
      </c>
      <c r="F32" s="241">
        <f t="shared" ref="F32:K32" si="5">F29</f>
        <v>0</v>
      </c>
      <c r="G32" s="241">
        <f t="shared" si="5"/>
        <v>0</v>
      </c>
      <c r="H32" s="241">
        <f t="shared" si="5"/>
        <v>41494000</v>
      </c>
      <c r="I32" s="241">
        <f t="shared" si="5"/>
        <v>0</v>
      </c>
      <c r="J32" s="241">
        <f t="shared" si="5"/>
        <v>0</v>
      </c>
      <c r="K32" s="241">
        <f t="shared" si="5"/>
        <v>87689654</v>
      </c>
      <c r="L32" s="241">
        <f>SUM(E32:K32)</f>
        <v>148543654</v>
      </c>
      <c r="M32" s="180"/>
    </row>
    <row r="33" spans="2:13" ht="13.8" thickBot="1" x14ac:dyDescent="0.3">
      <c r="B33" s="716" t="s">
        <v>696</v>
      </c>
      <c r="C33" s="717"/>
      <c r="D33" s="718"/>
      <c r="E33" s="241">
        <f>E30</f>
        <v>13934721</v>
      </c>
      <c r="F33" s="241">
        <f t="shared" ref="F33:L33" si="6">F30</f>
        <v>0</v>
      </c>
      <c r="G33" s="241">
        <f t="shared" si="6"/>
        <v>0</v>
      </c>
      <c r="H33" s="241">
        <f t="shared" si="6"/>
        <v>241714121</v>
      </c>
      <c r="I33" s="241">
        <f t="shared" si="6"/>
        <v>0</v>
      </c>
      <c r="J33" s="241">
        <f t="shared" si="6"/>
        <v>0</v>
      </c>
      <c r="K33" s="241">
        <f t="shared" si="6"/>
        <v>141261507</v>
      </c>
      <c r="L33" s="241">
        <f t="shared" si="6"/>
        <v>396910349</v>
      </c>
      <c r="M33" s="180"/>
    </row>
    <row r="34" spans="2:13" x14ac:dyDescent="0.25">
      <c r="E34" s="62"/>
      <c r="F34" s="62"/>
      <c r="G34" s="62"/>
      <c r="H34" s="62"/>
      <c r="I34" s="62"/>
      <c r="J34" s="62"/>
      <c r="K34" s="62"/>
      <c r="L34" s="62"/>
      <c r="M34" s="180"/>
    </row>
    <row r="35" spans="2:13" x14ac:dyDescent="0.25">
      <c r="B35" s="3" t="s">
        <v>271</v>
      </c>
    </row>
    <row r="36" spans="2:13" ht="13.8" thickBot="1" x14ac:dyDescent="0.3">
      <c r="L36" s="3" t="s">
        <v>276</v>
      </c>
    </row>
    <row r="37" spans="2:13" x14ac:dyDescent="0.25">
      <c r="B37" s="703" t="s">
        <v>37</v>
      </c>
      <c r="C37" s="704"/>
      <c r="D37" s="705"/>
      <c r="E37" s="724" t="s">
        <v>113</v>
      </c>
      <c r="F37" s="729" t="s">
        <v>114</v>
      </c>
      <c r="G37" s="729" t="s">
        <v>270</v>
      </c>
      <c r="H37" s="729" t="s">
        <v>116</v>
      </c>
      <c r="I37" s="729" t="s">
        <v>189</v>
      </c>
      <c r="J37" s="729" t="s">
        <v>117</v>
      </c>
      <c r="K37" s="229" t="s">
        <v>52</v>
      </c>
      <c r="L37" s="731" t="s">
        <v>38</v>
      </c>
    </row>
    <row r="38" spans="2:13" x14ac:dyDescent="0.25">
      <c r="B38" s="706"/>
      <c r="C38" s="707"/>
      <c r="D38" s="708"/>
      <c r="E38" s="734"/>
      <c r="F38" s="726"/>
      <c r="G38" s="726"/>
      <c r="H38" s="730"/>
      <c r="I38" s="730"/>
      <c r="J38" s="730"/>
      <c r="K38" s="230" t="s">
        <v>53</v>
      </c>
      <c r="L38" s="732"/>
    </row>
    <row r="39" spans="2:13" ht="21" thickBot="1" x14ac:dyDescent="0.3">
      <c r="B39" s="706"/>
      <c r="C39" s="707"/>
      <c r="D39" s="708"/>
      <c r="E39" s="734"/>
      <c r="F39" s="726"/>
      <c r="G39" s="726"/>
      <c r="H39" s="730"/>
      <c r="I39" s="730"/>
      <c r="J39" s="730"/>
      <c r="K39" s="230" t="s">
        <v>118</v>
      </c>
      <c r="L39" s="732"/>
    </row>
    <row r="40" spans="2:13" ht="12.75" customHeight="1" x14ac:dyDescent="0.25">
      <c r="B40" s="735" t="s">
        <v>628</v>
      </c>
      <c r="C40" s="709"/>
      <c r="D40" s="710"/>
      <c r="E40" s="145">
        <f>E6</f>
        <v>378000000</v>
      </c>
      <c r="F40" s="145">
        <f t="shared" ref="F40:K40" si="7">F6</f>
        <v>578235637</v>
      </c>
      <c r="G40" s="145">
        <f t="shared" si="7"/>
        <v>531466145</v>
      </c>
      <c r="H40" s="145">
        <f t="shared" si="7"/>
        <v>93260360</v>
      </c>
      <c r="I40" s="145">
        <f t="shared" si="7"/>
        <v>0</v>
      </c>
      <c r="J40" s="145">
        <f t="shared" si="7"/>
        <v>0</v>
      </c>
      <c r="K40" s="145">
        <f t="shared" si="7"/>
        <v>48084145</v>
      </c>
      <c r="L40" s="142">
        <f>SUM(E40:K40)</f>
        <v>1629046287</v>
      </c>
    </row>
    <row r="41" spans="2:13" ht="13.8" thickBot="1" x14ac:dyDescent="0.3">
      <c r="B41" s="737"/>
      <c r="C41" s="719"/>
      <c r="D41" s="720"/>
      <c r="E41" s="164"/>
      <c r="F41" s="164"/>
      <c r="G41" s="164"/>
      <c r="H41" s="164"/>
      <c r="I41" s="164"/>
      <c r="J41" s="164"/>
      <c r="K41" s="164"/>
      <c r="L41" s="157"/>
    </row>
    <row r="42" spans="2:13" x14ac:dyDescent="0.25">
      <c r="B42" s="735" t="s">
        <v>629</v>
      </c>
      <c r="C42" s="709"/>
      <c r="D42" s="710"/>
      <c r="E42" s="146">
        <f>E8</f>
        <v>378000000</v>
      </c>
      <c r="F42" s="146">
        <f t="shared" ref="F42:L42" si="8">F8</f>
        <v>674089940</v>
      </c>
      <c r="G42" s="146">
        <f t="shared" si="8"/>
        <v>611477401</v>
      </c>
      <c r="H42" s="146">
        <f t="shared" si="8"/>
        <v>0</v>
      </c>
      <c r="I42" s="146">
        <f t="shared" si="8"/>
        <v>0</v>
      </c>
      <c r="J42" s="146">
        <f t="shared" si="8"/>
        <v>0</v>
      </c>
      <c r="K42" s="146">
        <f t="shared" si="8"/>
        <v>60736363</v>
      </c>
      <c r="L42" s="143">
        <f t="shared" si="8"/>
        <v>1724303704</v>
      </c>
    </row>
    <row r="43" spans="2:13" ht="13.8" thickBot="1" x14ac:dyDescent="0.3">
      <c r="B43" s="736"/>
      <c r="C43" s="711"/>
      <c r="D43" s="712"/>
      <c r="E43" s="146"/>
      <c r="F43" s="146"/>
      <c r="G43" s="146"/>
      <c r="H43" s="146"/>
      <c r="I43" s="146"/>
      <c r="J43" s="146"/>
      <c r="K43" s="146"/>
      <c r="L43" s="143"/>
    </row>
    <row r="44" spans="2:13" ht="13.2" customHeight="1" x14ac:dyDescent="0.25">
      <c r="B44" s="738" t="s">
        <v>690</v>
      </c>
      <c r="C44" s="739"/>
      <c r="D44" s="740"/>
      <c r="E44" s="145">
        <f>E10</f>
        <v>453347511</v>
      </c>
      <c r="F44" s="145">
        <f t="shared" ref="F44:L44" si="9">F10</f>
        <v>674089940</v>
      </c>
      <c r="G44" s="145">
        <f t="shared" si="9"/>
        <v>387194988</v>
      </c>
      <c r="H44" s="145">
        <f t="shared" si="9"/>
        <v>1886517</v>
      </c>
      <c r="I44" s="145">
        <f t="shared" si="9"/>
        <v>5320193</v>
      </c>
      <c r="J44" s="145">
        <f t="shared" si="9"/>
        <v>0</v>
      </c>
      <c r="K44" s="145">
        <f t="shared" si="9"/>
        <v>60736363</v>
      </c>
      <c r="L44" s="142">
        <f t="shared" si="9"/>
        <v>1582575512</v>
      </c>
    </row>
    <row r="45" spans="2:13" ht="13.8" thickBot="1" x14ac:dyDescent="0.3">
      <c r="B45" s="741"/>
      <c r="C45" s="742"/>
      <c r="D45" s="743"/>
      <c r="E45" s="164"/>
      <c r="F45" s="164"/>
      <c r="G45" s="164"/>
      <c r="H45" s="164"/>
      <c r="I45" s="164"/>
      <c r="J45" s="164"/>
      <c r="K45" s="164"/>
      <c r="L45" s="157"/>
    </row>
    <row r="46" spans="2:13" ht="12.75" customHeight="1" x14ac:dyDescent="0.25">
      <c r="B46" s="735" t="s">
        <v>619</v>
      </c>
      <c r="C46" s="709"/>
      <c r="D46" s="710"/>
      <c r="E46" s="145">
        <f>E12</f>
        <v>4500000</v>
      </c>
      <c r="F46" s="145">
        <f t="shared" ref="F46:L46" si="10">F12</f>
        <v>271843251</v>
      </c>
      <c r="G46" s="145">
        <f t="shared" si="10"/>
        <v>83902218</v>
      </c>
      <c r="H46" s="145">
        <f t="shared" si="10"/>
        <v>85421500</v>
      </c>
      <c r="I46" s="145">
        <f t="shared" si="10"/>
        <v>0</v>
      </c>
      <c r="J46" s="145">
        <f t="shared" si="10"/>
        <v>0</v>
      </c>
      <c r="K46" s="145">
        <f t="shared" si="10"/>
        <v>11095000</v>
      </c>
      <c r="L46" s="142">
        <f t="shared" si="10"/>
        <v>456761969</v>
      </c>
    </row>
    <row r="47" spans="2:13" ht="13.8" thickBot="1" x14ac:dyDescent="0.3">
      <c r="B47" s="736"/>
      <c r="C47" s="711"/>
      <c r="D47" s="712"/>
      <c r="E47" s="146"/>
      <c r="F47" s="146"/>
      <c r="G47" s="146"/>
      <c r="H47" s="146"/>
      <c r="I47" s="146"/>
      <c r="J47" s="146"/>
      <c r="K47" s="146"/>
      <c r="L47" s="157"/>
    </row>
    <row r="48" spans="2:13" x14ac:dyDescent="0.25">
      <c r="B48" s="735" t="s">
        <v>621</v>
      </c>
      <c r="C48" s="709"/>
      <c r="D48" s="710"/>
      <c r="E48" s="145">
        <f>E14</f>
        <v>4500000</v>
      </c>
      <c r="F48" s="145">
        <f t="shared" ref="F48:K48" si="11">F14</f>
        <v>342778048</v>
      </c>
      <c r="G48" s="145">
        <f t="shared" si="11"/>
        <v>125236909</v>
      </c>
      <c r="H48" s="145">
        <f t="shared" si="11"/>
        <v>1000000</v>
      </c>
      <c r="I48" s="145">
        <f t="shared" si="11"/>
        <v>0</v>
      </c>
      <c r="J48" s="145">
        <f t="shared" si="11"/>
        <v>0</v>
      </c>
      <c r="K48" s="145">
        <f t="shared" si="11"/>
        <v>9538047</v>
      </c>
      <c r="L48" s="142">
        <f>SUM(E48:K48)</f>
        <v>483053004</v>
      </c>
    </row>
    <row r="49" spans="2:16" ht="13.8" thickBot="1" x14ac:dyDescent="0.3">
      <c r="B49" s="736"/>
      <c r="C49" s="711"/>
      <c r="D49" s="712"/>
      <c r="E49" s="146"/>
      <c r="F49" s="146"/>
      <c r="G49" s="146"/>
      <c r="H49" s="146"/>
      <c r="I49" s="146"/>
      <c r="J49" s="146"/>
      <c r="K49" s="146"/>
      <c r="L49" s="143"/>
    </row>
    <row r="50" spans="2:16" ht="13.2" customHeight="1" x14ac:dyDescent="0.25">
      <c r="B50" s="738" t="s">
        <v>691</v>
      </c>
      <c r="C50" s="739"/>
      <c r="D50" s="740"/>
      <c r="E50" s="145">
        <f>E16</f>
        <v>3906148</v>
      </c>
      <c r="F50" s="145">
        <f t="shared" ref="F50:L50" si="12">F16</f>
        <v>342778048</v>
      </c>
      <c r="G50" s="145">
        <f t="shared" si="12"/>
        <v>102115575</v>
      </c>
      <c r="H50" s="145">
        <f t="shared" si="12"/>
        <v>4973400</v>
      </c>
      <c r="I50" s="145">
        <f t="shared" si="12"/>
        <v>1180000</v>
      </c>
      <c r="J50" s="145">
        <f t="shared" si="12"/>
        <v>0</v>
      </c>
      <c r="K50" s="145">
        <f t="shared" si="12"/>
        <v>9538047</v>
      </c>
      <c r="L50" s="142">
        <f t="shared" si="12"/>
        <v>464491218</v>
      </c>
    </row>
    <row r="51" spans="2:16" ht="13.8" thickBot="1" x14ac:dyDescent="0.3">
      <c r="B51" s="741"/>
      <c r="C51" s="742"/>
      <c r="D51" s="743"/>
      <c r="E51" s="146"/>
      <c r="F51" s="146"/>
      <c r="G51" s="146"/>
      <c r="H51" s="146"/>
      <c r="I51" s="146"/>
      <c r="J51" s="146"/>
      <c r="K51" s="146"/>
      <c r="L51" s="143"/>
    </row>
    <row r="52" spans="2:16" ht="27" customHeight="1" thickBot="1" x14ac:dyDescent="0.3">
      <c r="B52" s="721" t="s">
        <v>49</v>
      </c>
      <c r="C52" s="722"/>
      <c r="D52" s="723"/>
      <c r="E52" s="132">
        <f>E46+E40</f>
        <v>382500000</v>
      </c>
      <c r="F52" s="132">
        <f t="shared" ref="F52:L52" si="13">F46+F40</f>
        <v>850078888</v>
      </c>
      <c r="G52" s="132">
        <f t="shared" si="13"/>
        <v>615368363</v>
      </c>
      <c r="H52" s="132">
        <f t="shared" si="13"/>
        <v>178681860</v>
      </c>
      <c r="I52" s="132">
        <f t="shared" si="13"/>
        <v>0</v>
      </c>
      <c r="J52" s="132">
        <f t="shared" si="13"/>
        <v>0</v>
      </c>
      <c r="K52" s="132">
        <f t="shared" si="13"/>
        <v>59179145</v>
      </c>
      <c r="L52" s="322">
        <f t="shared" si="13"/>
        <v>2085808256</v>
      </c>
    </row>
    <row r="53" spans="2:16" ht="27" customHeight="1" thickBot="1" x14ac:dyDescent="0.3">
      <c r="B53" s="721" t="s">
        <v>622</v>
      </c>
      <c r="C53" s="722"/>
      <c r="D53" s="723"/>
      <c r="E53" s="132">
        <f>E42+E48</f>
        <v>382500000</v>
      </c>
      <c r="F53" s="132">
        <f t="shared" ref="F53:L53" si="14">F42+F48</f>
        <v>1016867988</v>
      </c>
      <c r="G53" s="132">
        <f t="shared" si="14"/>
        <v>736714310</v>
      </c>
      <c r="H53" s="132">
        <f t="shared" si="14"/>
        <v>1000000</v>
      </c>
      <c r="I53" s="132">
        <f t="shared" si="14"/>
        <v>0</v>
      </c>
      <c r="J53" s="132">
        <f t="shared" si="14"/>
        <v>0</v>
      </c>
      <c r="K53" s="132">
        <f t="shared" si="14"/>
        <v>70274410</v>
      </c>
      <c r="L53" s="322">
        <f t="shared" si="14"/>
        <v>2207356708</v>
      </c>
    </row>
    <row r="54" spans="2:16" ht="27" customHeight="1" thickBot="1" x14ac:dyDescent="0.3">
      <c r="B54" s="721" t="s">
        <v>694</v>
      </c>
      <c r="C54" s="722"/>
      <c r="D54" s="723"/>
      <c r="E54" s="132">
        <f>E44+E50</f>
        <v>457253659</v>
      </c>
      <c r="F54" s="132">
        <f t="shared" ref="F54:L54" si="15">F44+F50</f>
        <v>1016867988</v>
      </c>
      <c r="G54" s="132">
        <f t="shared" si="15"/>
        <v>489310563</v>
      </c>
      <c r="H54" s="132">
        <f t="shared" si="15"/>
        <v>6859917</v>
      </c>
      <c r="I54" s="132">
        <f t="shared" si="15"/>
        <v>6500193</v>
      </c>
      <c r="J54" s="132">
        <f t="shared" si="15"/>
        <v>0</v>
      </c>
      <c r="K54" s="132">
        <f t="shared" si="15"/>
        <v>70274410</v>
      </c>
      <c r="L54" s="322">
        <f t="shared" si="15"/>
        <v>2047066730</v>
      </c>
    </row>
    <row r="55" spans="2:16" x14ac:dyDescent="0.25">
      <c r="B55" s="724" t="s">
        <v>119</v>
      </c>
      <c r="C55" s="725"/>
      <c r="D55" s="725"/>
      <c r="E55" s="724" t="s">
        <v>113</v>
      </c>
      <c r="F55" s="729" t="s">
        <v>121</v>
      </c>
      <c r="G55" s="729" t="s">
        <v>115</v>
      </c>
      <c r="H55" s="729" t="s">
        <v>116</v>
      </c>
      <c r="I55" s="729" t="s">
        <v>190</v>
      </c>
      <c r="J55" s="729" t="s">
        <v>120</v>
      </c>
      <c r="K55" s="229" t="s">
        <v>52</v>
      </c>
      <c r="L55" s="731" t="s">
        <v>38</v>
      </c>
      <c r="N55" s="217"/>
    </row>
    <row r="56" spans="2:16" ht="51" x14ac:dyDescent="0.25">
      <c r="B56" s="726"/>
      <c r="C56" s="726"/>
      <c r="D56" s="726"/>
      <c r="E56" s="734"/>
      <c r="F56" s="726"/>
      <c r="G56" s="726"/>
      <c r="H56" s="730"/>
      <c r="I56" s="730"/>
      <c r="J56" s="730"/>
      <c r="K56" s="230" t="s">
        <v>217</v>
      </c>
      <c r="L56" s="732"/>
    </row>
    <row r="57" spans="2:16" ht="31.2" thickBot="1" x14ac:dyDescent="0.3">
      <c r="B57" s="727"/>
      <c r="C57" s="727"/>
      <c r="D57" s="727"/>
      <c r="E57" s="734"/>
      <c r="F57" s="726"/>
      <c r="G57" s="726"/>
      <c r="H57" s="730"/>
      <c r="I57" s="730"/>
      <c r="J57" s="730"/>
      <c r="K57" s="230" t="s">
        <v>218</v>
      </c>
      <c r="L57" s="732"/>
    </row>
    <row r="58" spans="2:16" ht="30.6" customHeight="1" thickBot="1" x14ac:dyDescent="0.3">
      <c r="B58" s="713" t="s">
        <v>630</v>
      </c>
      <c r="C58" s="714"/>
      <c r="D58" s="715"/>
      <c r="E58" s="147">
        <f>E28</f>
        <v>19360000</v>
      </c>
      <c r="F58" s="147">
        <f t="shared" ref="F58:J58" si="16">F28</f>
        <v>0</v>
      </c>
      <c r="G58" s="147">
        <f t="shared" si="16"/>
        <v>0</v>
      </c>
      <c r="H58" s="147">
        <f>H28</f>
        <v>31177370</v>
      </c>
      <c r="I58" s="147">
        <f t="shared" si="16"/>
        <v>0</v>
      </c>
      <c r="J58" s="147">
        <f t="shared" si="16"/>
        <v>0</v>
      </c>
      <c r="K58" s="147">
        <f>K28</f>
        <v>62296606</v>
      </c>
      <c r="L58" s="147">
        <f>SUM(E58:K58)</f>
        <v>112833976</v>
      </c>
    </row>
    <row r="59" spans="2:16" ht="35.4" customHeight="1" thickBot="1" x14ac:dyDescent="0.3">
      <c r="B59" s="713" t="s">
        <v>631</v>
      </c>
      <c r="C59" s="714"/>
      <c r="D59" s="715"/>
      <c r="E59" s="147">
        <f>E29</f>
        <v>19360000</v>
      </c>
      <c r="F59" s="147">
        <f t="shared" ref="F59:J59" si="17">F29</f>
        <v>0</v>
      </c>
      <c r="G59" s="147">
        <f t="shared" si="17"/>
        <v>0</v>
      </c>
      <c r="H59" s="147">
        <f t="shared" si="17"/>
        <v>41494000</v>
      </c>
      <c r="I59" s="147">
        <f t="shared" si="17"/>
        <v>0</v>
      </c>
      <c r="J59" s="147">
        <f t="shared" si="17"/>
        <v>0</v>
      </c>
      <c r="K59" s="147">
        <f>K29</f>
        <v>87689654</v>
      </c>
      <c r="L59" s="147">
        <f>SUM(E59:K59)</f>
        <v>148543654</v>
      </c>
      <c r="N59" s="8"/>
      <c r="O59" s="8"/>
    </row>
    <row r="60" spans="2:16" ht="35.4" customHeight="1" thickBot="1" x14ac:dyDescent="0.3">
      <c r="B60" s="713" t="s">
        <v>975</v>
      </c>
      <c r="C60" s="714"/>
      <c r="D60" s="715"/>
      <c r="E60" s="147">
        <f>E30</f>
        <v>13934721</v>
      </c>
      <c r="F60" s="147">
        <f t="shared" ref="F60:L60" si="18">F30</f>
        <v>0</v>
      </c>
      <c r="G60" s="147">
        <f t="shared" si="18"/>
        <v>0</v>
      </c>
      <c r="H60" s="147">
        <f t="shared" si="18"/>
        <v>241714121</v>
      </c>
      <c r="I60" s="147">
        <f t="shared" si="18"/>
        <v>0</v>
      </c>
      <c r="J60" s="147">
        <f t="shared" si="18"/>
        <v>0</v>
      </c>
      <c r="K60" s="147">
        <f t="shared" si="18"/>
        <v>141261507</v>
      </c>
      <c r="L60" s="147">
        <f t="shared" si="18"/>
        <v>396910349</v>
      </c>
      <c r="N60" s="8"/>
      <c r="O60" s="8"/>
    </row>
    <row r="61" spans="2:16" ht="13.8" thickBot="1" x14ac:dyDescent="0.3">
      <c r="B61" s="716" t="s">
        <v>626</v>
      </c>
      <c r="C61" s="717"/>
      <c r="D61" s="718"/>
      <c r="E61" s="150">
        <f>SUM(E58:E58)</f>
        <v>19360000</v>
      </c>
      <c r="F61" s="150">
        <f t="shared" ref="F61:L61" si="19">SUM(F58:F58)</f>
        <v>0</v>
      </c>
      <c r="G61" s="150">
        <f t="shared" si="19"/>
        <v>0</v>
      </c>
      <c r="H61" s="150">
        <f t="shared" si="19"/>
        <v>31177370</v>
      </c>
      <c r="I61" s="150">
        <f t="shared" si="19"/>
        <v>0</v>
      </c>
      <c r="J61" s="150">
        <f t="shared" si="19"/>
        <v>0</v>
      </c>
      <c r="K61" s="150">
        <f t="shared" si="19"/>
        <v>62296606</v>
      </c>
      <c r="L61" s="150">
        <f t="shared" si="19"/>
        <v>112833976</v>
      </c>
    </row>
    <row r="62" spans="2:16" ht="13.8" thickBot="1" x14ac:dyDescent="0.3">
      <c r="B62" s="716" t="s">
        <v>627</v>
      </c>
      <c r="C62" s="717"/>
      <c r="D62" s="718"/>
      <c r="E62" s="150">
        <f>E59</f>
        <v>19360000</v>
      </c>
      <c r="F62" s="150">
        <f t="shared" ref="F62:L62" si="20">F59</f>
        <v>0</v>
      </c>
      <c r="G62" s="150">
        <f t="shared" si="20"/>
        <v>0</v>
      </c>
      <c r="H62" s="150">
        <f t="shared" si="20"/>
        <v>41494000</v>
      </c>
      <c r="I62" s="150">
        <f t="shared" si="20"/>
        <v>0</v>
      </c>
      <c r="J62" s="150">
        <f t="shared" si="20"/>
        <v>0</v>
      </c>
      <c r="K62" s="150">
        <f t="shared" si="20"/>
        <v>87689654</v>
      </c>
      <c r="L62" s="150">
        <f t="shared" si="20"/>
        <v>148543654</v>
      </c>
    </row>
    <row r="63" spans="2:16" ht="13.8" thickBot="1" x14ac:dyDescent="0.3">
      <c r="B63" s="716" t="s">
        <v>696</v>
      </c>
      <c r="C63" s="717"/>
      <c r="D63" s="718"/>
      <c r="E63" s="150">
        <f>E60</f>
        <v>13934721</v>
      </c>
      <c r="F63" s="150">
        <f t="shared" ref="F63:L63" si="21">F60</f>
        <v>0</v>
      </c>
      <c r="G63" s="150">
        <f t="shared" si="21"/>
        <v>0</v>
      </c>
      <c r="H63" s="150">
        <f t="shared" si="21"/>
        <v>241714121</v>
      </c>
      <c r="I63" s="150">
        <f t="shared" si="21"/>
        <v>0</v>
      </c>
      <c r="J63" s="150">
        <f t="shared" si="21"/>
        <v>0</v>
      </c>
      <c r="K63" s="150">
        <f t="shared" si="21"/>
        <v>141261507</v>
      </c>
      <c r="L63" s="150">
        <f t="shared" si="21"/>
        <v>396910349</v>
      </c>
    </row>
    <row r="64" spans="2:16" ht="13.8" thickBot="1" x14ac:dyDescent="0.3">
      <c r="B64" s="716" t="s">
        <v>632</v>
      </c>
      <c r="C64" s="717"/>
      <c r="D64" s="717"/>
      <c r="E64" s="241">
        <f>E61+E52</f>
        <v>401860000</v>
      </c>
      <c r="F64" s="241">
        <f t="shared" ref="F64:L64" si="22">F61+F52</f>
        <v>850078888</v>
      </c>
      <c r="G64" s="241">
        <f t="shared" si="22"/>
        <v>615368363</v>
      </c>
      <c r="H64" s="241">
        <f t="shared" si="22"/>
        <v>209859230</v>
      </c>
      <c r="I64" s="241">
        <f t="shared" si="22"/>
        <v>0</v>
      </c>
      <c r="J64" s="241">
        <f t="shared" si="22"/>
        <v>0</v>
      </c>
      <c r="K64" s="241">
        <f t="shared" si="22"/>
        <v>121475751</v>
      </c>
      <c r="L64" s="241">
        <f t="shared" si="22"/>
        <v>2198642232</v>
      </c>
      <c r="M64" s="242"/>
      <c r="N64" s="217">
        <f>L64+'Felhalmozási bevételek'!L15</f>
        <v>2362663087</v>
      </c>
      <c r="O64" s="217">
        <f>N64-2362663088</f>
        <v>-1</v>
      </c>
      <c r="P64" s="217">
        <f>L61+L46+L40</f>
        <v>2198642232</v>
      </c>
    </row>
    <row r="65" spans="2:40" ht="13.8" thickBot="1" x14ac:dyDescent="0.3">
      <c r="B65" s="404" t="s">
        <v>633</v>
      </c>
      <c r="C65" s="405"/>
      <c r="D65" s="405"/>
      <c r="E65" s="317">
        <f>E62+E53</f>
        <v>401860000</v>
      </c>
      <c r="F65" s="317">
        <f t="shared" ref="F65:L65" si="23">F62+F53</f>
        <v>1016867988</v>
      </c>
      <c r="G65" s="317">
        <f t="shared" si="23"/>
        <v>736714310</v>
      </c>
      <c r="H65" s="317">
        <f t="shared" si="23"/>
        <v>42494000</v>
      </c>
      <c r="I65" s="317">
        <f t="shared" si="23"/>
        <v>0</v>
      </c>
      <c r="J65" s="317">
        <f t="shared" si="23"/>
        <v>0</v>
      </c>
      <c r="K65" s="317">
        <f t="shared" si="23"/>
        <v>157964064</v>
      </c>
      <c r="L65" s="317">
        <f t="shared" si="23"/>
        <v>2355900362</v>
      </c>
      <c r="M65" s="242"/>
      <c r="N65" s="217"/>
      <c r="O65" s="217"/>
      <c r="P65" s="217"/>
    </row>
    <row r="66" spans="2:40" ht="13.8" thickBot="1" x14ac:dyDescent="0.3">
      <c r="B66" s="749" t="s">
        <v>976</v>
      </c>
      <c r="C66" s="749"/>
      <c r="D66" s="749"/>
      <c r="E66" s="241">
        <f>E54+E63</f>
        <v>471188380</v>
      </c>
      <c r="F66" s="241">
        <f t="shared" ref="F66:L66" si="24">F54+F63</f>
        <v>1016867988</v>
      </c>
      <c r="G66" s="241">
        <f t="shared" si="24"/>
        <v>489310563</v>
      </c>
      <c r="H66" s="241">
        <f t="shared" si="24"/>
        <v>248574038</v>
      </c>
      <c r="I66" s="241">
        <f t="shared" si="24"/>
        <v>6500193</v>
      </c>
      <c r="J66" s="241">
        <f t="shared" si="24"/>
        <v>0</v>
      </c>
      <c r="K66" s="241">
        <f t="shared" si="24"/>
        <v>211535917</v>
      </c>
      <c r="L66" s="241">
        <f t="shared" si="24"/>
        <v>2443977079</v>
      </c>
      <c r="M66" s="242"/>
      <c r="N66" s="217"/>
      <c r="O66" s="217"/>
      <c r="P66" s="217"/>
    </row>
    <row r="67" spans="2:40" x14ac:dyDescent="0.25">
      <c r="E67" s="62"/>
      <c r="F67" s="62"/>
      <c r="G67" s="62"/>
      <c r="H67" s="62"/>
      <c r="I67" s="62"/>
      <c r="J67" s="62"/>
      <c r="K67" s="62"/>
      <c r="L67" s="62"/>
      <c r="M67" s="180"/>
      <c r="N67" s="217">
        <f>L64+'Felhalmozási bevételek'!L15</f>
        <v>2362663087</v>
      </c>
    </row>
    <row r="68" spans="2:40" x14ac:dyDescent="0.25">
      <c r="B68" s="3" t="s">
        <v>275</v>
      </c>
      <c r="I68" s="217">
        <f>E84+F84+G84+H84+H64</f>
        <v>1507803088</v>
      </c>
      <c r="J68" s="3" t="s">
        <v>202</v>
      </c>
      <c r="M68" s="180"/>
    </row>
    <row r="69" spans="2:40" ht="13.8" thickBot="1" x14ac:dyDescent="0.3">
      <c r="M69" s="180"/>
    </row>
    <row r="70" spans="2:40" ht="51" customHeight="1" x14ac:dyDescent="0.25">
      <c r="B70" s="703" t="s">
        <v>37</v>
      </c>
      <c r="C70" s="744"/>
      <c r="D70" s="745"/>
      <c r="E70" s="724" t="s">
        <v>277</v>
      </c>
      <c r="F70" s="729" t="s">
        <v>278</v>
      </c>
      <c r="G70" s="729" t="s">
        <v>279</v>
      </c>
      <c r="H70" s="729" t="s">
        <v>280</v>
      </c>
      <c r="I70" s="729" t="s">
        <v>555</v>
      </c>
      <c r="J70" s="729" t="s">
        <v>638</v>
      </c>
      <c r="K70" s="729" t="s">
        <v>637</v>
      </c>
      <c r="L70" s="346"/>
      <c r="M70" s="8"/>
      <c r="N70" s="8"/>
      <c r="Q70" s="216"/>
      <c r="AN70"/>
    </row>
    <row r="71" spans="2:40" ht="13.8" thickBot="1" x14ac:dyDescent="0.3">
      <c r="B71" s="746"/>
      <c r="C71" s="747"/>
      <c r="D71" s="748"/>
      <c r="E71" s="734"/>
      <c r="F71" s="733"/>
      <c r="G71" s="730"/>
      <c r="H71" s="730"/>
      <c r="I71" s="730"/>
      <c r="J71" s="733"/>
      <c r="K71" s="730"/>
      <c r="L71" s="218"/>
      <c r="M71" s="8"/>
      <c r="N71" s="8"/>
      <c r="O71" s="218"/>
      <c r="Q71" s="216"/>
      <c r="AN71"/>
    </row>
    <row r="72" spans="2:40" x14ac:dyDescent="0.25">
      <c r="B72" s="735" t="s">
        <v>628</v>
      </c>
      <c r="C72" s="709"/>
      <c r="D72" s="710"/>
      <c r="E72" s="145">
        <f>F6</f>
        <v>578235637</v>
      </c>
      <c r="F72" s="145">
        <v>129919092</v>
      </c>
      <c r="G72" s="145">
        <v>215813577</v>
      </c>
      <c r="H72" s="147">
        <v>35733476</v>
      </c>
      <c r="I72" s="147">
        <v>150000000</v>
      </c>
      <c r="J72" s="147">
        <v>0</v>
      </c>
      <c r="K72" s="142">
        <f>SUM(E72:I72)</f>
        <v>1109701782</v>
      </c>
      <c r="L72" s="452"/>
      <c r="M72" s="453"/>
      <c r="N72" s="8"/>
      <c r="Q72" s="216"/>
      <c r="AN72"/>
    </row>
    <row r="73" spans="2:40" ht="13.8" thickBot="1" x14ac:dyDescent="0.3">
      <c r="B73" s="737"/>
      <c r="C73" s="719"/>
      <c r="D73" s="720"/>
      <c r="E73" s="164"/>
      <c r="F73" s="164"/>
      <c r="G73" s="164"/>
      <c r="H73" s="164"/>
      <c r="I73" s="164"/>
      <c r="J73" s="164"/>
      <c r="K73" s="157"/>
      <c r="L73" s="452"/>
      <c r="M73" s="453"/>
      <c r="N73" s="8"/>
      <c r="Q73" s="216"/>
      <c r="AN73"/>
    </row>
    <row r="74" spans="2:40" x14ac:dyDescent="0.25">
      <c r="B74" s="735" t="s">
        <v>629</v>
      </c>
      <c r="C74" s="709"/>
      <c r="D74" s="710"/>
      <c r="E74" s="146">
        <f>F8</f>
        <v>674089940</v>
      </c>
      <c r="F74" s="146">
        <v>129919092</v>
      </c>
      <c r="G74" s="146">
        <v>215813577</v>
      </c>
      <c r="H74" s="146">
        <f>35733476+984000+2753524+2023000</f>
        <v>41494000</v>
      </c>
      <c r="I74" s="146">
        <f>150000000-12652217</f>
        <v>137347783</v>
      </c>
      <c r="J74" s="146">
        <f>3572617+2947040+2515901+75499758+894113+1473520</f>
        <v>86902949</v>
      </c>
      <c r="K74" s="143">
        <f>SUM(E74:J74)</f>
        <v>1285567341</v>
      </c>
      <c r="L74" s="330">
        <f>1145657327-K74</f>
        <v>-139910014</v>
      </c>
      <c r="M74" s="487">
        <f>1285567341-K74</f>
        <v>0</v>
      </c>
      <c r="N74" s="8"/>
      <c r="Q74" s="216"/>
      <c r="AN74"/>
    </row>
    <row r="75" spans="2:40" ht="13.8" thickBot="1" x14ac:dyDescent="0.3">
      <c r="B75" s="737"/>
      <c r="C75" s="719"/>
      <c r="D75" s="720"/>
      <c r="E75" s="146"/>
      <c r="F75" s="146"/>
      <c r="G75" s="146"/>
      <c r="H75" s="146"/>
      <c r="I75" s="146"/>
      <c r="J75" s="146"/>
      <c r="K75" s="143"/>
      <c r="L75" s="330"/>
      <c r="M75" s="487"/>
      <c r="N75" s="8"/>
      <c r="Q75" s="216"/>
      <c r="AN75"/>
    </row>
    <row r="76" spans="2:40" x14ac:dyDescent="0.25">
      <c r="B76" s="735" t="s">
        <v>977</v>
      </c>
      <c r="C76" s="709"/>
      <c r="D76" s="710"/>
      <c r="E76" s="145">
        <v>674089940</v>
      </c>
      <c r="F76" s="145">
        <v>129919092</v>
      </c>
      <c r="G76" s="145">
        <v>0</v>
      </c>
      <c r="H76" s="145">
        <v>41494000</v>
      </c>
      <c r="I76" s="145">
        <v>128878947</v>
      </c>
      <c r="J76" s="145">
        <v>86902949</v>
      </c>
      <c r="K76" s="142">
        <f>SUM(E76:J76)</f>
        <v>1061284928</v>
      </c>
      <c r="L76" s="330"/>
      <c r="M76" s="487"/>
      <c r="N76" s="8"/>
      <c r="Q76" s="216"/>
      <c r="AN76"/>
    </row>
    <row r="77" spans="2:40" ht="13.8" thickBot="1" x14ac:dyDescent="0.3">
      <c r="B77" s="737"/>
      <c r="C77" s="719"/>
      <c r="D77" s="720"/>
      <c r="E77" s="146"/>
      <c r="F77" s="146"/>
      <c r="G77" s="146"/>
      <c r="H77" s="146"/>
      <c r="I77" s="146"/>
      <c r="J77" s="146"/>
      <c r="K77" s="143"/>
      <c r="L77" s="330"/>
      <c r="M77" s="487"/>
      <c r="N77" s="8"/>
      <c r="Q77" s="216"/>
      <c r="AN77"/>
    </row>
    <row r="78" spans="2:40" ht="13.2" customHeight="1" x14ac:dyDescent="0.25">
      <c r="B78" s="738" t="s">
        <v>634</v>
      </c>
      <c r="C78" s="739"/>
      <c r="D78" s="740"/>
      <c r="E78" s="145">
        <f>F12</f>
        <v>271843251</v>
      </c>
      <c r="F78" s="145">
        <v>61574820</v>
      </c>
      <c r="G78" s="145">
        <v>4824005</v>
      </c>
      <c r="H78" s="147">
        <v>0</v>
      </c>
      <c r="I78" s="147">
        <v>17503394</v>
      </c>
      <c r="J78" s="147">
        <v>0</v>
      </c>
      <c r="K78" s="142">
        <f>SUM(E78:I78)</f>
        <v>355745470</v>
      </c>
      <c r="L78" s="330"/>
      <c r="M78" s="487"/>
      <c r="N78" s="8"/>
      <c r="Q78" s="216"/>
      <c r="AN78"/>
    </row>
    <row r="79" spans="2:40" ht="13.8" thickBot="1" x14ac:dyDescent="0.3">
      <c r="B79" s="741"/>
      <c r="C79" s="742"/>
      <c r="D79" s="743"/>
      <c r="E79" s="146"/>
      <c r="F79" s="146"/>
      <c r="G79" s="146"/>
      <c r="H79" s="146"/>
      <c r="I79" s="146"/>
      <c r="J79" s="146"/>
      <c r="K79" s="157"/>
      <c r="L79" s="218"/>
      <c r="M79" s="216"/>
      <c r="N79" s="8"/>
      <c r="Q79" s="216"/>
      <c r="AN79"/>
    </row>
    <row r="80" spans="2:40" x14ac:dyDescent="0.25">
      <c r="B80" s="738" t="s">
        <v>635</v>
      </c>
      <c r="C80" s="739"/>
      <c r="D80" s="740"/>
      <c r="E80" s="145">
        <f>F14</f>
        <v>342778048</v>
      </c>
      <c r="F80" s="145">
        <v>61574820</v>
      </c>
      <c r="G80" s="145">
        <v>4824005</v>
      </c>
      <c r="H80" s="145">
        <v>0</v>
      </c>
      <c r="I80" s="142">
        <v>17503393</v>
      </c>
      <c r="J80" s="142">
        <f>1173931+1556953+1491210+1105140+35454887+552570</f>
        <v>41334691</v>
      </c>
      <c r="K80" s="143">
        <f>SUM(E80:J80)</f>
        <v>468014957</v>
      </c>
      <c r="L80" s="219">
        <f>394365031-K80</f>
        <v>-73649926</v>
      </c>
      <c r="M80" s="217">
        <f>468014957-K80</f>
        <v>0</v>
      </c>
      <c r="N80" s="8"/>
      <c r="Q80" s="216"/>
      <c r="AN80"/>
    </row>
    <row r="81" spans="2:42" ht="13.8" thickBot="1" x14ac:dyDescent="0.3">
      <c r="B81" s="741"/>
      <c r="C81" s="742"/>
      <c r="D81" s="743"/>
      <c r="E81" s="146"/>
      <c r="F81" s="146"/>
      <c r="G81" s="146"/>
      <c r="H81" s="146"/>
      <c r="I81" s="146"/>
      <c r="J81" s="146"/>
      <c r="K81" s="157"/>
      <c r="L81" s="50"/>
      <c r="M81" s="8"/>
      <c r="N81" s="8"/>
      <c r="Q81" s="216"/>
      <c r="AN81"/>
    </row>
    <row r="82" spans="2:42" x14ac:dyDescent="0.25">
      <c r="B82" s="738" t="s">
        <v>978</v>
      </c>
      <c r="C82" s="739"/>
      <c r="D82" s="740"/>
      <c r="E82" s="145">
        <v>342778048</v>
      </c>
      <c r="F82" s="145">
        <v>61574820</v>
      </c>
      <c r="G82" s="145">
        <v>0</v>
      </c>
      <c r="H82" s="145">
        <v>0</v>
      </c>
      <c r="I82" s="145">
        <v>0</v>
      </c>
      <c r="J82" s="142">
        <v>40540755</v>
      </c>
      <c r="K82" s="142">
        <f>SUM(E82:J82)</f>
        <v>444893623</v>
      </c>
      <c r="L82" s="50"/>
      <c r="M82" s="8"/>
      <c r="N82" s="8"/>
      <c r="Q82" s="216"/>
      <c r="AN82"/>
    </row>
    <row r="83" spans="2:42" ht="13.8" thickBot="1" x14ac:dyDescent="0.3">
      <c r="B83" s="741"/>
      <c r="C83" s="742"/>
      <c r="D83" s="743"/>
      <c r="E83" s="146"/>
      <c r="F83" s="146"/>
      <c r="G83" s="146"/>
      <c r="H83" s="146"/>
      <c r="I83" s="146"/>
      <c r="J83" s="146"/>
      <c r="K83" s="157"/>
      <c r="L83" s="50"/>
      <c r="M83" s="8"/>
      <c r="N83" s="8"/>
      <c r="Q83" s="216"/>
      <c r="AN83"/>
    </row>
    <row r="84" spans="2:42" ht="13.8" thickBot="1" x14ac:dyDescent="0.3">
      <c r="B84" s="716" t="s">
        <v>626</v>
      </c>
      <c r="C84" s="717"/>
      <c r="D84" s="718"/>
      <c r="E84" s="241">
        <f>E72+E78</f>
        <v>850078888</v>
      </c>
      <c r="F84" s="241">
        <f t="shared" ref="F84:K84" si="25">F72+F78</f>
        <v>191493912</v>
      </c>
      <c r="G84" s="241">
        <f t="shared" si="25"/>
        <v>220637582</v>
      </c>
      <c r="H84" s="241">
        <f t="shared" si="25"/>
        <v>35733476</v>
      </c>
      <c r="I84" s="241">
        <f t="shared" si="25"/>
        <v>167503394</v>
      </c>
      <c r="J84" s="241">
        <f>J72+J78</f>
        <v>0</v>
      </c>
      <c r="K84" s="241">
        <f t="shared" si="25"/>
        <v>1465447252</v>
      </c>
      <c r="L84" s="454"/>
      <c r="M84" s="188"/>
      <c r="N84" s="8"/>
      <c r="Q84" s="216"/>
      <c r="AO84" s="8"/>
      <c r="AP84" s="8"/>
    </row>
    <row r="85" spans="2:42" ht="13.8" thickBot="1" x14ac:dyDescent="0.3">
      <c r="B85" s="404" t="s">
        <v>627</v>
      </c>
      <c r="C85" s="405"/>
      <c r="D85" s="406"/>
      <c r="E85" s="241">
        <f>E74+E80</f>
        <v>1016867988</v>
      </c>
      <c r="F85" s="241">
        <f t="shared" ref="F85:I85" si="26">F74+F80</f>
        <v>191493912</v>
      </c>
      <c r="G85" s="241">
        <f t="shared" si="26"/>
        <v>220637582</v>
      </c>
      <c r="H85" s="241">
        <f t="shared" si="26"/>
        <v>41494000</v>
      </c>
      <c r="I85" s="241">
        <f t="shared" si="26"/>
        <v>154851176</v>
      </c>
      <c r="J85" s="241">
        <f>J74+J80</f>
        <v>128237640</v>
      </c>
      <c r="K85" s="241">
        <f>K74+K80</f>
        <v>1753582298</v>
      </c>
      <c r="L85" s="454"/>
      <c r="M85" s="188"/>
      <c r="N85" s="8"/>
      <c r="Q85" s="216"/>
      <c r="AO85" s="8"/>
      <c r="AP85" s="8"/>
    </row>
    <row r="86" spans="2:42" ht="13.8" thickBot="1" x14ac:dyDescent="0.3">
      <c r="B86" s="749" t="s">
        <v>696</v>
      </c>
      <c r="C86" s="749"/>
      <c r="D86" s="749"/>
      <c r="E86" s="241">
        <f>E76+E82</f>
        <v>1016867988</v>
      </c>
      <c r="F86" s="241">
        <f t="shared" ref="F86:K86" si="27">F76+F82</f>
        <v>191493912</v>
      </c>
      <c r="G86" s="241">
        <f t="shared" si="27"/>
        <v>0</v>
      </c>
      <c r="H86" s="241">
        <f t="shared" si="27"/>
        <v>41494000</v>
      </c>
      <c r="I86" s="241">
        <f t="shared" si="27"/>
        <v>128878947</v>
      </c>
      <c r="J86" s="241">
        <f t="shared" si="27"/>
        <v>127443704</v>
      </c>
      <c r="K86" s="241">
        <f t="shared" si="27"/>
        <v>1506178551</v>
      </c>
      <c r="L86" s="454"/>
      <c r="M86" s="188"/>
      <c r="N86" s="8"/>
      <c r="Q86" s="216"/>
      <c r="AO86" s="8"/>
      <c r="AP86" s="8"/>
    </row>
    <row r="87" spans="2:42" x14ac:dyDescent="0.25">
      <c r="L87" s="188"/>
    </row>
    <row r="88" spans="2:42" x14ac:dyDescent="0.25">
      <c r="B88" s="8" t="s">
        <v>281</v>
      </c>
    </row>
  </sheetData>
  <mergeCells count="83">
    <mergeCell ref="B86:D86"/>
    <mergeCell ref="B60:D60"/>
    <mergeCell ref="B63:D63"/>
    <mergeCell ref="B66:D66"/>
    <mergeCell ref="B76:D77"/>
    <mergeCell ref="B82:D83"/>
    <mergeCell ref="B64:D64"/>
    <mergeCell ref="B84:D84"/>
    <mergeCell ref="B80:D81"/>
    <mergeCell ref="B78:D79"/>
    <mergeCell ref="B62:D62"/>
    <mergeCell ref="F3:F5"/>
    <mergeCell ref="G3:G5"/>
    <mergeCell ref="E25:E27"/>
    <mergeCell ref="F25:F27"/>
    <mergeCell ref="G25:G27"/>
    <mergeCell ref="E3:E5"/>
    <mergeCell ref="K70:K71"/>
    <mergeCell ref="F70:F71"/>
    <mergeCell ref="J70:J71"/>
    <mergeCell ref="B53:D53"/>
    <mergeCell ref="B59:D59"/>
    <mergeCell ref="B61:D61"/>
    <mergeCell ref="G70:G71"/>
    <mergeCell ref="H70:H71"/>
    <mergeCell ref="I70:I71"/>
    <mergeCell ref="E70:E71"/>
    <mergeCell ref="B70:D71"/>
    <mergeCell ref="B54:D54"/>
    <mergeCell ref="J55:J57"/>
    <mergeCell ref="B42:D43"/>
    <mergeCell ref="B48:D49"/>
    <mergeCell ref="G37:G39"/>
    <mergeCell ref="H37:H39"/>
    <mergeCell ref="B74:D75"/>
    <mergeCell ref="B46:D47"/>
    <mergeCell ref="B52:D52"/>
    <mergeCell ref="B44:D45"/>
    <mergeCell ref="B50:D51"/>
    <mergeCell ref="B72:D73"/>
    <mergeCell ref="B40:D41"/>
    <mergeCell ref="L37:L39"/>
    <mergeCell ref="B37:D39"/>
    <mergeCell ref="E37:E39"/>
    <mergeCell ref="F37:F39"/>
    <mergeCell ref="B28:D28"/>
    <mergeCell ref="I37:I39"/>
    <mergeCell ref="J37:J39"/>
    <mergeCell ref="L55:L57"/>
    <mergeCell ref="B58:D58"/>
    <mergeCell ref="B55:D57"/>
    <mergeCell ref="E55:E57"/>
    <mergeCell ref="F55:F57"/>
    <mergeCell ref="G55:G57"/>
    <mergeCell ref="H55:H57"/>
    <mergeCell ref="I55:I57"/>
    <mergeCell ref="K2:L2"/>
    <mergeCell ref="H25:H27"/>
    <mergeCell ref="I25:I27"/>
    <mergeCell ref="J25:J27"/>
    <mergeCell ref="L25:L27"/>
    <mergeCell ref="L3:L5"/>
    <mergeCell ref="I3:I5"/>
    <mergeCell ref="J3:J5"/>
    <mergeCell ref="H3:H5"/>
    <mergeCell ref="K25:K27"/>
    <mergeCell ref="K3:K5"/>
    <mergeCell ref="B3:D5"/>
    <mergeCell ref="C8:D9"/>
    <mergeCell ref="B30:D30"/>
    <mergeCell ref="B33:D33"/>
    <mergeCell ref="C14:D15"/>
    <mergeCell ref="B19:D19"/>
    <mergeCell ref="B29:D29"/>
    <mergeCell ref="B31:D31"/>
    <mergeCell ref="B32:D32"/>
    <mergeCell ref="B18:D18"/>
    <mergeCell ref="C6:D7"/>
    <mergeCell ref="C12:D13"/>
    <mergeCell ref="B25:D27"/>
    <mergeCell ref="C10:D11"/>
    <mergeCell ref="C16:D17"/>
    <mergeCell ref="B20:D20"/>
  </mergeCells>
  <pageMargins left="0.47244094488188981" right="0.23622047244094491" top="0.51181102362204722" bottom="0.35433070866141736" header="0.51181102362204722" footer="0.51181102362204722"/>
  <pageSetup paperSize="9" scale="67" orientation="landscape" r:id="rId1"/>
  <headerFooter alignWithMargins="0"/>
  <rowBreaks count="1" manualBreakCount="1">
    <brk id="33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8"/>
  <sheetViews>
    <sheetView zoomScaleNormal="100" workbookViewId="0">
      <selection activeCell="G23" sqref="G23"/>
    </sheetView>
  </sheetViews>
  <sheetFormatPr defaultRowHeight="13.2" x14ac:dyDescent="0.25"/>
  <cols>
    <col min="1" max="1" width="20.109375" customWidth="1"/>
    <col min="2" max="2" width="2.6640625" customWidth="1"/>
    <col min="3" max="3" width="27.44140625" customWidth="1"/>
    <col min="4" max="4" width="11.44140625" customWidth="1"/>
    <col min="5" max="5" width="13.88671875" customWidth="1"/>
    <col min="6" max="6" width="16" customWidth="1"/>
    <col min="7" max="8" width="12.6640625" customWidth="1"/>
    <col min="9" max="10" width="13.33203125" customWidth="1"/>
    <col min="11" max="11" width="18.33203125" customWidth="1"/>
    <col min="12" max="12" width="21" customWidth="1"/>
    <col min="13" max="13" width="9.109375" style="1"/>
    <col min="14" max="14" width="13.88671875" bestFit="1" customWidth="1"/>
  </cols>
  <sheetData>
    <row r="1" spans="1:26" ht="15.6" x14ac:dyDescent="0.3">
      <c r="A1" s="8"/>
      <c r="B1" s="3" t="s">
        <v>175</v>
      </c>
      <c r="C1" s="8"/>
      <c r="D1" s="8"/>
      <c r="E1" s="8"/>
      <c r="F1" s="26" t="s">
        <v>581</v>
      </c>
      <c r="G1" s="8"/>
      <c r="H1" s="8"/>
      <c r="I1" s="8"/>
      <c r="J1" s="8"/>
      <c r="K1" s="8"/>
      <c r="L1" s="8"/>
      <c r="M1" s="50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3.8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750" t="s">
        <v>203</v>
      </c>
      <c r="L2" s="750"/>
      <c r="M2" s="5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.75" customHeight="1" x14ac:dyDescent="0.25">
      <c r="A3" s="725" t="s">
        <v>132</v>
      </c>
      <c r="B3" s="725" t="s">
        <v>40</v>
      </c>
      <c r="C3" s="725"/>
      <c r="D3" s="725"/>
      <c r="E3" s="705" t="s">
        <v>151</v>
      </c>
      <c r="F3" s="725" t="s">
        <v>133</v>
      </c>
      <c r="G3" s="725" t="s">
        <v>159</v>
      </c>
      <c r="H3" s="725" t="s">
        <v>131</v>
      </c>
      <c r="I3" s="175" t="s">
        <v>54</v>
      </c>
      <c r="J3" s="191" t="s">
        <v>188</v>
      </c>
      <c r="K3" s="175" t="s">
        <v>54</v>
      </c>
      <c r="L3" s="725" t="s">
        <v>38</v>
      </c>
      <c r="M3" s="5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25">
      <c r="A4" s="726"/>
      <c r="B4" s="726"/>
      <c r="C4" s="726"/>
      <c r="D4" s="726"/>
      <c r="E4" s="708"/>
      <c r="F4" s="726"/>
      <c r="G4" s="726"/>
      <c r="H4" s="726"/>
      <c r="I4" s="174" t="s">
        <v>95</v>
      </c>
      <c r="J4" s="190" t="s">
        <v>197</v>
      </c>
      <c r="K4" s="174" t="s">
        <v>55</v>
      </c>
      <c r="L4" s="726"/>
      <c r="M4" s="50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8.25" customHeight="1" thickBot="1" x14ac:dyDescent="0.3">
      <c r="A5" s="727"/>
      <c r="B5" s="726"/>
      <c r="C5" s="726"/>
      <c r="D5" s="726"/>
      <c r="E5" s="708"/>
      <c r="F5" s="726"/>
      <c r="G5" s="726"/>
      <c r="H5" s="726"/>
      <c r="I5" s="174" t="s">
        <v>212</v>
      </c>
      <c r="J5" s="190" t="s">
        <v>198</v>
      </c>
      <c r="K5" s="174" t="s">
        <v>130</v>
      </c>
      <c r="L5" s="726"/>
      <c r="M5" s="50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6" thickBot="1" x14ac:dyDescent="0.3">
      <c r="A6" s="756" t="s">
        <v>295</v>
      </c>
      <c r="B6" s="759" t="s">
        <v>552</v>
      </c>
      <c r="C6" s="760"/>
      <c r="D6" s="442" t="s">
        <v>50</v>
      </c>
      <c r="E6" s="407"/>
      <c r="F6" s="279"/>
      <c r="G6" s="279"/>
      <c r="H6" s="279"/>
      <c r="I6" s="279"/>
      <c r="J6" s="279"/>
      <c r="K6" s="320">
        <v>11915855</v>
      </c>
      <c r="L6" s="319">
        <f t="shared" ref="L6:L14" si="0">SUM(E6:K6)</f>
        <v>11915855</v>
      </c>
      <c r="M6" s="50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thickBot="1" x14ac:dyDescent="0.3">
      <c r="A7" s="757"/>
      <c r="B7" s="761"/>
      <c r="C7" s="762"/>
      <c r="D7" s="443" t="s">
        <v>623</v>
      </c>
      <c r="E7" s="434"/>
      <c r="F7" s="435"/>
      <c r="G7" s="435"/>
      <c r="H7" s="435"/>
      <c r="I7" s="435"/>
      <c r="J7" s="435"/>
      <c r="K7" s="436">
        <v>11915855</v>
      </c>
      <c r="L7" s="436">
        <f t="shared" si="0"/>
        <v>11915855</v>
      </c>
      <c r="M7" s="5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6" thickBot="1" x14ac:dyDescent="0.3">
      <c r="A8" s="758"/>
      <c r="B8" s="763"/>
      <c r="C8" s="764"/>
      <c r="D8" s="443" t="s">
        <v>979</v>
      </c>
      <c r="E8" s="434"/>
      <c r="F8" s="435"/>
      <c r="G8" s="435"/>
      <c r="H8" s="435"/>
      <c r="I8" s="435"/>
      <c r="J8" s="435"/>
      <c r="K8" s="436">
        <v>11915855</v>
      </c>
      <c r="L8" s="436">
        <f>SUM(E8:K8)</f>
        <v>11915855</v>
      </c>
      <c r="M8" s="5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 thickBot="1" x14ac:dyDescent="0.3">
      <c r="A9" s="756" t="s">
        <v>295</v>
      </c>
      <c r="B9" s="765" t="s">
        <v>554</v>
      </c>
      <c r="C9" s="766"/>
      <c r="D9" s="443" t="s">
        <v>50</v>
      </c>
      <c r="E9" s="434"/>
      <c r="F9" s="435"/>
      <c r="G9" s="435"/>
      <c r="H9" s="435"/>
      <c r="I9" s="435"/>
      <c r="J9" s="435"/>
      <c r="K9" s="436">
        <v>1905000</v>
      </c>
      <c r="L9" s="436">
        <f t="shared" si="0"/>
        <v>1905000</v>
      </c>
      <c r="M9" s="5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 thickBot="1" x14ac:dyDescent="0.3">
      <c r="A10" s="757"/>
      <c r="B10" s="767"/>
      <c r="C10" s="768"/>
      <c r="D10" s="444" t="s">
        <v>623</v>
      </c>
      <c r="E10" s="281"/>
      <c r="F10" s="280"/>
      <c r="G10" s="280"/>
      <c r="H10" s="280"/>
      <c r="I10" s="280"/>
      <c r="J10" s="280"/>
      <c r="K10" s="457">
        <v>1905000</v>
      </c>
      <c r="L10" s="436">
        <f t="shared" si="0"/>
        <v>1905000</v>
      </c>
      <c r="M10" s="5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 thickBot="1" x14ac:dyDescent="0.3">
      <c r="A11" s="758"/>
      <c r="B11" s="769"/>
      <c r="C11" s="770"/>
      <c r="D11" s="444" t="s">
        <v>979</v>
      </c>
      <c r="E11" s="484"/>
      <c r="F11" s="483"/>
      <c r="G11" s="483"/>
      <c r="H11" s="483"/>
      <c r="I11" s="483"/>
      <c r="J11" s="483"/>
      <c r="K11" s="457">
        <v>1905000</v>
      </c>
      <c r="L11" s="436">
        <f t="shared" si="0"/>
        <v>1905000</v>
      </c>
      <c r="M11" s="50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 thickBot="1" x14ac:dyDescent="0.3">
      <c r="A12" s="771" t="s">
        <v>295</v>
      </c>
      <c r="B12" s="759" t="s">
        <v>553</v>
      </c>
      <c r="C12" s="760"/>
      <c r="D12" s="445" t="s">
        <v>50</v>
      </c>
      <c r="E12" s="439"/>
      <c r="F12" s="437">
        <v>150000000</v>
      </c>
      <c r="G12" s="438"/>
      <c r="H12" s="437"/>
      <c r="I12" s="437"/>
      <c r="J12" s="437"/>
      <c r="K12" s="437">
        <v>200000</v>
      </c>
      <c r="L12" s="437">
        <f t="shared" si="0"/>
        <v>150200000</v>
      </c>
      <c r="M12" s="5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 thickBot="1" x14ac:dyDescent="0.3">
      <c r="A13" s="772"/>
      <c r="B13" s="761"/>
      <c r="C13" s="762"/>
      <c r="D13" s="445" t="s">
        <v>623</v>
      </c>
      <c r="E13" s="597"/>
      <c r="F13" s="437">
        <v>150000000</v>
      </c>
      <c r="G13" s="438"/>
      <c r="H13" s="437"/>
      <c r="I13" s="437"/>
      <c r="J13" s="437"/>
      <c r="K13" s="437">
        <v>200000</v>
      </c>
      <c r="L13" s="437">
        <f t="shared" si="0"/>
        <v>150200000</v>
      </c>
      <c r="M13" s="50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 thickBot="1" x14ac:dyDescent="0.3">
      <c r="A14" s="773"/>
      <c r="B14" s="763"/>
      <c r="C14" s="764"/>
      <c r="D14" s="445" t="s">
        <v>979</v>
      </c>
      <c r="E14" s="597"/>
      <c r="F14" s="437">
        <v>36658738</v>
      </c>
      <c r="G14" s="438"/>
      <c r="H14" s="437"/>
      <c r="I14" s="437"/>
      <c r="J14" s="437"/>
      <c r="K14" s="437">
        <v>200000</v>
      </c>
      <c r="L14" s="437">
        <f t="shared" si="0"/>
        <v>36858738</v>
      </c>
      <c r="M14" s="50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8" x14ac:dyDescent="0.25">
      <c r="A15" s="314"/>
      <c r="B15" s="315" t="s">
        <v>626</v>
      </c>
      <c r="C15" s="318"/>
      <c r="D15" s="449" t="s">
        <v>50</v>
      </c>
      <c r="E15" s="440">
        <f t="shared" ref="E15:L15" si="1">E12+E6+E9</f>
        <v>0</v>
      </c>
      <c r="F15" s="316">
        <f t="shared" si="1"/>
        <v>150000000</v>
      </c>
      <c r="G15" s="316">
        <f t="shared" si="1"/>
        <v>0</v>
      </c>
      <c r="H15" s="316">
        <f t="shared" si="1"/>
        <v>0</v>
      </c>
      <c r="I15" s="316">
        <f t="shared" si="1"/>
        <v>0</v>
      </c>
      <c r="J15" s="316">
        <f t="shared" si="1"/>
        <v>0</v>
      </c>
      <c r="K15" s="316">
        <f t="shared" si="1"/>
        <v>14020855</v>
      </c>
      <c r="L15" s="316">
        <f t="shared" si="1"/>
        <v>164020855</v>
      </c>
      <c r="M15" s="180"/>
      <c r="N15" s="62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8" thickBot="1" x14ac:dyDescent="0.3">
      <c r="A16" s="604"/>
      <c r="B16" s="755" t="s">
        <v>636</v>
      </c>
      <c r="C16" s="753"/>
      <c r="D16" s="450" t="s">
        <v>50</v>
      </c>
      <c r="E16" s="441">
        <f>E12</f>
        <v>0</v>
      </c>
      <c r="F16" s="317">
        <f t="shared" ref="F16:L16" si="2">F12</f>
        <v>150000000</v>
      </c>
      <c r="G16" s="317">
        <f t="shared" si="2"/>
        <v>0</v>
      </c>
      <c r="H16" s="317">
        <f t="shared" si="2"/>
        <v>0</v>
      </c>
      <c r="I16" s="317">
        <f t="shared" si="2"/>
        <v>0</v>
      </c>
      <c r="J16" s="317">
        <f t="shared" si="2"/>
        <v>0</v>
      </c>
      <c r="K16" s="317">
        <f t="shared" si="2"/>
        <v>200000</v>
      </c>
      <c r="L16" s="317">
        <f t="shared" si="2"/>
        <v>150200000</v>
      </c>
      <c r="M16" s="50"/>
      <c r="N16" s="62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56"/>
      <c r="B17" s="446" t="s">
        <v>627</v>
      </c>
      <c r="C17" s="447"/>
      <c r="D17" s="451" t="s">
        <v>623</v>
      </c>
      <c r="E17" s="150">
        <f>E7+E10+E13</f>
        <v>0</v>
      </c>
      <c r="F17" s="150">
        <f t="shared" ref="F17:L17" si="3">F7+F10+F13</f>
        <v>150000000</v>
      </c>
      <c r="G17" s="150">
        <f t="shared" si="3"/>
        <v>0</v>
      </c>
      <c r="H17" s="150">
        <f t="shared" si="3"/>
        <v>0</v>
      </c>
      <c r="I17" s="150">
        <f t="shared" si="3"/>
        <v>0</v>
      </c>
      <c r="J17" s="150">
        <f t="shared" si="3"/>
        <v>0</v>
      </c>
      <c r="K17" s="150">
        <f t="shared" si="3"/>
        <v>14020855</v>
      </c>
      <c r="L17" s="150">
        <f t="shared" si="3"/>
        <v>164020855</v>
      </c>
      <c r="M17" s="50"/>
      <c r="N17" s="62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8" thickBot="1" x14ac:dyDescent="0.3">
      <c r="A18" s="56"/>
      <c r="B18" s="408" t="s">
        <v>636</v>
      </c>
      <c r="C18" s="448"/>
      <c r="D18" s="450" t="s">
        <v>623</v>
      </c>
      <c r="E18" s="317">
        <f>E13</f>
        <v>0</v>
      </c>
      <c r="F18" s="317">
        <f t="shared" ref="F18:L18" si="4">F13</f>
        <v>150000000</v>
      </c>
      <c r="G18" s="317">
        <f t="shared" si="4"/>
        <v>0</v>
      </c>
      <c r="H18" s="317">
        <f t="shared" si="4"/>
        <v>0</v>
      </c>
      <c r="I18" s="317">
        <f t="shared" si="4"/>
        <v>0</v>
      </c>
      <c r="J18" s="317">
        <f t="shared" si="4"/>
        <v>0</v>
      </c>
      <c r="K18" s="317">
        <f t="shared" si="4"/>
        <v>200000</v>
      </c>
      <c r="L18" s="317">
        <f t="shared" si="4"/>
        <v>150200000</v>
      </c>
      <c r="M18" s="50"/>
      <c r="N18" s="62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56"/>
      <c r="B19" s="751" t="s">
        <v>696</v>
      </c>
      <c r="C19" s="752"/>
      <c r="D19" s="449" t="s">
        <v>979</v>
      </c>
      <c r="E19" s="150">
        <f>E8+E11+E14</f>
        <v>0</v>
      </c>
      <c r="F19" s="150">
        <f t="shared" ref="F19:L19" si="5">F8+F11+F14</f>
        <v>36658738</v>
      </c>
      <c r="G19" s="150">
        <f t="shared" si="5"/>
        <v>0</v>
      </c>
      <c r="H19" s="150">
        <f t="shared" si="5"/>
        <v>0</v>
      </c>
      <c r="I19" s="150">
        <f t="shared" si="5"/>
        <v>0</v>
      </c>
      <c r="J19" s="150">
        <f t="shared" si="5"/>
        <v>0</v>
      </c>
      <c r="K19" s="150">
        <f t="shared" si="5"/>
        <v>14020855</v>
      </c>
      <c r="L19" s="150">
        <f t="shared" si="5"/>
        <v>50679593</v>
      </c>
      <c r="M19" s="50"/>
      <c r="N19" s="62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8" thickBot="1" x14ac:dyDescent="0.3">
      <c r="A20" s="56"/>
      <c r="B20" s="753" t="s">
        <v>636</v>
      </c>
      <c r="C20" s="754"/>
      <c r="D20" s="450" t="s">
        <v>979</v>
      </c>
      <c r="E20" s="317">
        <f>E14</f>
        <v>0</v>
      </c>
      <c r="F20" s="317">
        <f t="shared" ref="F20:L20" si="6">F14</f>
        <v>36658738</v>
      </c>
      <c r="G20" s="317">
        <f t="shared" si="6"/>
        <v>0</v>
      </c>
      <c r="H20" s="317">
        <f t="shared" si="6"/>
        <v>0</v>
      </c>
      <c r="I20" s="317">
        <f t="shared" si="6"/>
        <v>0</v>
      </c>
      <c r="J20" s="317">
        <f t="shared" si="6"/>
        <v>0</v>
      </c>
      <c r="K20" s="317">
        <f t="shared" si="6"/>
        <v>200000</v>
      </c>
      <c r="L20" s="317">
        <f t="shared" si="6"/>
        <v>36858738</v>
      </c>
      <c r="M20" s="50"/>
      <c r="N20" s="62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81"/>
      <c r="M21" s="50"/>
      <c r="N21" s="62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8"/>
      <c r="B22" s="37"/>
      <c r="C22" s="8"/>
      <c r="D22" s="8"/>
      <c r="E22" s="62"/>
      <c r="F22" s="8"/>
      <c r="G22" s="8"/>
      <c r="H22" s="8"/>
      <c r="I22" s="8"/>
      <c r="J22" s="8"/>
      <c r="K22" s="8"/>
      <c r="L22" s="181"/>
      <c r="M22" s="5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8"/>
      <c r="B23" s="37"/>
      <c r="C23" s="8"/>
      <c r="D23" s="8"/>
      <c r="E23" s="8"/>
      <c r="F23" s="8"/>
      <c r="G23" s="8"/>
      <c r="H23" s="8"/>
      <c r="I23" s="8"/>
      <c r="J23" s="8"/>
      <c r="K23" s="8"/>
      <c r="L23" s="181"/>
      <c r="M23" s="5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8"/>
      <c r="B24" s="37"/>
      <c r="C24" s="8"/>
      <c r="D24" s="8"/>
      <c r="E24" s="8"/>
      <c r="F24" s="8"/>
      <c r="G24" s="8"/>
      <c r="H24" s="8"/>
      <c r="I24" s="8"/>
      <c r="J24" s="8"/>
      <c r="K24" s="62"/>
      <c r="L24" s="181"/>
      <c r="M24" s="5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8"/>
      <c r="B25" s="37"/>
      <c r="C25" s="182"/>
      <c r="D25" s="8"/>
      <c r="E25" s="8"/>
      <c r="F25" s="8"/>
      <c r="G25" s="8"/>
      <c r="H25" s="8"/>
      <c r="I25" s="8"/>
      <c r="J25" s="8"/>
      <c r="K25" s="8"/>
      <c r="L25" s="181"/>
      <c r="M25" s="5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8"/>
      <c r="B26" s="37"/>
      <c r="C26" s="182"/>
      <c r="D26" s="8"/>
      <c r="E26" s="8"/>
      <c r="F26" s="8"/>
      <c r="G26" s="8"/>
      <c r="H26" s="8"/>
      <c r="I26" s="8"/>
      <c r="J26" s="8"/>
      <c r="K26" s="8"/>
      <c r="L26" s="181"/>
      <c r="M26" s="5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8"/>
      <c r="B27" s="37"/>
      <c r="C27" s="182"/>
      <c r="D27" s="8"/>
      <c r="E27" s="8"/>
      <c r="F27" s="8"/>
      <c r="G27" s="8"/>
      <c r="H27" s="8"/>
      <c r="I27" s="8"/>
      <c r="J27" s="8"/>
      <c r="K27" s="8"/>
      <c r="L27" s="8"/>
      <c r="M27" s="5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62"/>
      <c r="M28" s="5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8"/>
      <c r="B29" s="37"/>
      <c r="C29" s="8"/>
      <c r="D29" s="8"/>
      <c r="E29" s="8"/>
      <c r="F29" s="8"/>
      <c r="G29" s="8"/>
      <c r="H29" s="8"/>
      <c r="I29" s="8"/>
      <c r="J29" s="8"/>
      <c r="K29" s="8"/>
      <c r="L29" s="8"/>
      <c r="M29" s="5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62"/>
      <c r="M30" s="5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8"/>
      <c r="B31" s="37"/>
      <c r="C31" s="8"/>
      <c r="D31" s="8"/>
      <c r="E31" s="8"/>
      <c r="F31" s="8"/>
      <c r="G31" s="8"/>
      <c r="H31" s="8"/>
      <c r="I31" s="8"/>
      <c r="J31" s="8"/>
      <c r="K31" s="8"/>
      <c r="L31" s="8"/>
      <c r="M31" s="5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62"/>
      <c r="M32" s="5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5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5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5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5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5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5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5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0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50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5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50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50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5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50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50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5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50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0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5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50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50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50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50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50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5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5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50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5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50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50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50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5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50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50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50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5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50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5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50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50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5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50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5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5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5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5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5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5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5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5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5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5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5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5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5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5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</sheetData>
  <mergeCells count="17">
    <mergeCell ref="B19:C19"/>
    <mergeCell ref="B20:C20"/>
    <mergeCell ref="B16:C16"/>
    <mergeCell ref="A3:A5"/>
    <mergeCell ref="A6:A8"/>
    <mergeCell ref="B6:C8"/>
    <mergeCell ref="A9:A11"/>
    <mergeCell ref="B9:C11"/>
    <mergeCell ref="A12:A14"/>
    <mergeCell ref="B12:C14"/>
    <mergeCell ref="K2:L2"/>
    <mergeCell ref="L3:L5"/>
    <mergeCell ref="B3:D5"/>
    <mergeCell ref="E3:E5"/>
    <mergeCell ref="F3:F5"/>
    <mergeCell ref="G3:G5"/>
    <mergeCell ref="H3:H5"/>
  </mergeCells>
  <pageMargins left="0.19685039370078741" right="0.19685039370078741" top="0.39370078740157483" bottom="0.39370078740157483" header="0" footer="0"/>
  <pageSetup paperSize="8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139"/>
  <sheetViews>
    <sheetView zoomScaleNormal="100" workbookViewId="0">
      <selection activeCell="E114" sqref="E114:M114"/>
    </sheetView>
  </sheetViews>
  <sheetFormatPr defaultRowHeight="13.2" x14ac:dyDescent="0.25"/>
  <cols>
    <col min="1" max="1" width="2.6640625" style="1" customWidth="1"/>
    <col min="2" max="2" width="2.6640625" customWidth="1"/>
    <col min="3" max="4" width="10.109375" customWidth="1"/>
    <col min="5" max="5" width="13.6640625" customWidth="1"/>
    <col min="6" max="10" width="12.6640625" customWidth="1"/>
    <col min="11" max="11" width="14.44140625" customWidth="1"/>
    <col min="12" max="12" width="13.44140625" customWidth="1"/>
    <col min="13" max="13" width="16.109375" customWidth="1"/>
    <col min="14" max="14" width="9.109375" style="1"/>
    <col min="15" max="15" width="12.6640625" style="218" bestFit="1" customWidth="1"/>
    <col min="16" max="16" width="12.6640625" style="216" bestFit="1" customWidth="1"/>
    <col min="17" max="17" width="15.6640625" customWidth="1"/>
    <col min="18" max="18" width="11.6640625" customWidth="1"/>
    <col min="19" max="19" width="12.5546875" customWidth="1"/>
    <col min="20" max="20" width="11.44140625" customWidth="1"/>
    <col min="23" max="23" width="14.6640625" customWidth="1"/>
    <col min="24" max="24" width="14.6640625" bestFit="1" customWidth="1"/>
  </cols>
  <sheetData>
    <row r="1" spans="1:35" ht="15.6" x14ac:dyDescent="0.3">
      <c r="A1" s="50"/>
      <c r="B1" s="3" t="s">
        <v>176</v>
      </c>
      <c r="C1" s="23"/>
      <c r="D1" s="24"/>
      <c r="E1" s="25"/>
      <c r="F1" s="26"/>
      <c r="G1" s="26"/>
      <c r="H1" s="26" t="s">
        <v>581</v>
      </c>
      <c r="I1" s="26"/>
      <c r="J1" s="26"/>
      <c r="K1" s="26"/>
      <c r="L1" s="26"/>
      <c r="M1" s="26"/>
      <c r="N1" s="50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4.4" thickBot="1" x14ac:dyDescent="0.3">
      <c r="A2" s="50"/>
      <c r="B2" s="27"/>
      <c r="C2" s="3" t="s">
        <v>96</v>
      </c>
      <c r="D2" s="28"/>
      <c r="E2" s="29"/>
      <c r="F2" s="30"/>
      <c r="G2" s="30"/>
      <c r="H2" s="30"/>
      <c r="I2" s="31"/>
      <c r="J2" s="31"/>
      <c r="K2" s="31"/>
      <c r="L2" s="31"/>
      <c r="M2" s="31" t="s">
        <v>238</v>
      </c>
      <c r="N2" s="50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12.75" customHeight="1" x14ac:dyDescent="0.25">
      <c r="A3" s="50"/>
      <c r="B3" s="703" t="s">
        <v>37</v>
      </c>
      <c r="C3" s="704"/>
      <c r="D3" s="705"/>
      <c r="E3" s="724" t="s">
        <v>134</v>
      </c>
      <c r="F3" s="729" t="s">
        <v>135</v>
      </c>
      <c r="G3" s="729" t="s">
        <v>136</v>
      </c>
      <c r="H3" s="729" t="s">
        <v>185</v>
      </c>
      <c r="I3" s="729" t="s">
        <v>156</v>
      </c>
      <c r="J3" s="729" t="s">
        <v>154</v>
      </c>
      <c r="K3" s="729" t="s">
        <v>157</v>
      </c>
      <c r="L3" s="729" t="s">
        <v>137</v>
      </c>
      <c r="M3" s="731" t="s">
        <v>38</v>
      </c>
      <c r="N3" s="50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x14ac:dyDescent="0.25">
      <c r="A4" s="50"/>
      <c r="B4" s="706"/>
      <c r="C4" s="707"/>
      <c r="D4" s="708"/>
      <c r="E4" s="734"/>
      <c r="F4" s="726"/>
      <c r="G4" s="726"/>
      <c r="H4" s="730"/>
      <c r="I4" s="730"/>
      <c r="J4" s="730"/>
      <c r="K4" s="730"/>
      <c r="L4" s="730"/>
      <c r="M4" s="732"/>
      <c r="N4" s="50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ht="45" customHeight="1" thickBot="1" x14ac:dyDescent="0.3">
      <c r="A5" s="50"/>
      <c r="B5" s="778"/>
      <c r="C5" s="779"/>
      <c r="D5" s="780"/>
      <c r="E5" s="781"/>
      <c r="F5" s="727"/>
      <c r="G5" s="727"/>
      <c r="H5" s="733"/>
      <c r="I5" s="733"/>
      <c r="J5" s="733"/>
      <c r="K5" s="733"/>
      <c r="L5" s="733"/>
      <c r="M5" s="732"/>
      <c r="N5" s="50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8" customHeight="1" x14ac:dyDescent="0.25">
      <c r="A6" s="50"/>
      <c r="B6" s="44"/>
      <c r="C6" s="739" t="s">
        <v>618</v>
      </c>
      <c r="D6" s="740"/>
      <c r="E6" s="145">
        <v>860539000</v>
      </c>
      <c r="F6" s="145">
        <v>122791400</v>
      </c>
      <c r="G6" s="145">
        <v>644915888</v>
      </c>
      <c r="H6" s="145">
        <v>0</v>
      </c>
      <c r="I6" s="145">
        <v>0</v>
      </c>
      <c r="J6" s="145">
        <v>800000</v>
      </c>
      <c r="K6" s="145">
        <v>0</v>
      </c>
      <c r="L6" s="142">
        <v>0</v>
      </c>
      <c r="M6" s="144">
        <f>SUM(E6:L6)</f>
        <v>1629046288</v>
      </c>
      <c r="N6" s="50" t="s">
        <v>94</v>
      </c>
      <c r="P6" s="217">
        <f>M6+'Felhalmozási kiadások'!I7</f>
        <v>1640962143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3.8" thickBot="1" x14ac:dyDescent="0.3">
      <c r="A7" s="50"/>
      <c r="B7" s="45"/>
      <c r="C7" s="742"/>
      <c r="D7" s="743"/>
      <c r="E7" s="164"/>
      <c r="F7" s="164"/>
      <c r="G7" s="164"/>
      <c r="H7" s="164"/>
      <c r="I7" s="164"/>
      <c r="J7" s="164"/>
      <c r="K7" s="164"/>
      <c r="L7" s="157"/>
      <c r="M7" s="155"/>
      <c r="N7" s="50"/>
      <c r="P7" s="217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50"/>
      <c r="B8" s="33"/>
      <c r="C8" s="739" t="s">
        <v>620</v>
      </c>
      <c r="D8" s="740"/>
      <c r="E8" s="146">
        <f>863525102+65381927+11930613</f>
        <v>940837642</v>
      </c>
      <c r="F8" s="146">
        <f>123377915+9314292+272382</f>
        <v>132964589</v>
      </c>
      <c r="G8" s="146">
        <f>637137348+3107858-298-4522273</f>
        <v>635722635</v>
      </c>
      <c r="H8" s="146">
        <f>7778540+298</f>
        <v>7778838</v>
      </c>
      <c r="I8" s="146">
        <v>0</v>
      </c>
      <c r="J8" s="146">
        <f>800000+200000</f>
        <v>1000000</v>
      </c>
      <c r="K8" s="146">
        <v>0</v>
      </c>
      <c r="L8" s="143">
        <v>0</v>
      </c>
      <c r="M8" s="415">
        <f>SUM(E8:L8)</f>
        <v>1718303704</v>
      </c>
      <c r="N8" s="50" t="s">
        <v>94</v>
      </c>
      <c r="P8" s="217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22.2" customHeight="1" thickBot="1" x14ac:dyDescent="0.3">
      <c r="A9" s="50"/>
      <c r="B9" s="33"/>
      <c r="C9" s="782"/>
      <c r="D9" s="783"/>
      <c r="E9" s="146"/>
      <c r="F9" s="146"/>
      <c r="G9" s="146"/>
      <c r="H9" s="146"/>
      <c r="I9" s="146"/>
      <c r="J9" s="146"/>
      <c r="K9" s="146"/>
      <c r="L9" s="143"/>
      <c r="M9" s="415"/>
      <c r="N9" s="50"/>
      <c r="P9" s="217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22.2" customHeight="1" x14ac:dyDescent="0.25">
      <c r="A10" s="50"/>
      <c r="B10" s="44"/>
      <c r="C10" s="739" t="s">
        <v>690</v>
      </c>
      <c r="D10" s="740"/>
      <c r="E10" s="145">
        <v>837268105</v>
      </c>
      <c r="F10" s="145">
        <v>109933162</v>
      </c>
      <c r="G10" s="145">
        <v>524882455</v>
      </c>
      <c r="H10" s="145">
        <v>7778838</v>
      </c>
      <c r="I10" s="145">
        <v>0</v>
      </c>
      <c r="J10" s="145">
        <v>980960</v>
      </c>
      <c r="K10" s="145">
        <v>0</v>
      </c>
      <c r="L10" s="142">
        <v>0</v>
      </c>
      <c r="M10" s="144">
        <f>SUM(E10:L10)</f>
        <v>1480843520</v>
      </c>
      <c r="N10" s="50" t="s">
        <v>94</v>
      </c>
      <c r="P10" s="217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22.2" customHeight="1" thickBot="1" x14ac:dyDescent="0.3">
      <c r="A11" s="50"/>
      <c r="B11" s="33"/>
      <c r="C11" s="782"/>
      <c r="D11" s="783"/>
      <c r="E11" s="146"/>
      <c r="F11" s="146"/>
      <c r="G11" s="146"/>
      <c r="H11" s="146"/>
      <c r="I11" s="146"/>
      <c r="J11" s="146"/>
      <c r="K11" s="146"/>
      <c r="L11" s="143"/>
      <c r="M11" s="415"/>
      <c r="N11" s="50"/>
      <c r="P11" s="217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9.2" customHeight="1" x14ac:dyDescent="0.25">
      <c r="A12" s="50"/>
      <c r="B12" s="44"/>
      <c r="C12" s="739" t="s">
        <v>619</v>
      </c>
      <c r="D12" s="740"/>
      <c r="E12" s="145">
        <v>352586000</v>
      </c>
      <c r="F12" s="145">
        <v>53403400</v>
      </c>
      <c r="G12" s="145">
        <v>50472569</v>
      </c>
      <c r="H12" s="145">
        <v>0</v>
      </c>
      <c r="I12" s="145">
        <v>0</v>
      </c>
      <c r="J12" s="145">
        <v>300000</v>
      </c>
      <c r="K12" s="145">
        <v>0</v>
      </c>
      <c r="L12" s="142">
        <v>0</v>
      </c>
      <c r="M12" s="144">
        <f>SUM(E12:L12)</f>
        <v>456761969</v>
      </c>
      <c r="N12" s="50" t="s">
        <v>94</v>
      </c>
      <c r="P12" s="217">
        <f>M12+'Felhalmozási kiadások'!I13</f>
        <v>458666969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3.8" thickBot="1" x14ac:dyDescent="0.3">
      <c r="A13" s="50"/>
      <c r="B13" s="45"/>
      <c r="C13" s="742"/>
      <c r="D13" s="743"/>
      <c r="E13" s="164"/>
      <c r="F13" s="164"/>
      <c r="G13" s="164"/>
      <c r="H13" s="164"/>
      <c r="I13" s="164"/>
      <c r="J13" s="164"/>
      <c r="K13" s="164"/>
      <c r="L13" s="157"/>
      <c r="M13" s="156"/>
      <c r="N13" s="50"/>
      <c r="P13" s="217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x14ac:dyDescent="0.25">
      <c r="A14" s="50"/>
      <c r="B14" s="33"/>
      <c r="C14" s="739" t="s">
        <v>621</v>
      </c>
      <c r="D14" s="740"/>
      <c r="E14" s="146">
        <f>353624877+33673662-13580468+489000</f>
        <v>374207071</v>
      </c>
      <c r="F14" s="146">
        <f>53538454+4377575+63570</f>
        <v>57979599</v>
      </c>
      <c r="G14" s="146">
        <f>50472569-84674+178439</f>
        <v>50566334</v>
      </c>
      <c r="H14" s="146">
        <v>0</v>
      </c>
      <c r="I14" s="146">
        <v>0</v>
      </c>
      <c r="J14" s="146">
        <v>300000</v>
      </c>
      <c r="K14" s="146">
        <v>0</v>
      </c>
      <c r="L14" s="143">
        <v>0</v>
      </c>
      <c r="M14" s="416">
        <f>SUM(E14:L14)</f>
        <v>483053004</v>
      </c>
      <c r="N14" s="50" t="s">
        <v>94</v>
      </c>
      <c r="P14" s="217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3.8" thickBot="1" x14ac:dyDescent="0.3">
      <c r="A15" s="50"/>
      <c r="B15" s="33"/>
      <c r="C15" s="782"/>
      <c r="D15" s="783"/>
      <c r="E15" s="146"/>
      <c r="F15" s="146"/>
      <c r="G15" s="146"/>
      <c r="H15" s="146"/>
      <c r="I15" s="146"/>
      <c r="J15" s="146"/>
      <c r="K15" s="146"/>
      <c r="L15" s="143"/>
      <c r="M15" s="416"/>
      <c r="N15" s="50"/>
      <c r="P15" s="217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x14ac:dyDescent="0.25">
      <c r="A16" s="50"/>
      <c r="B16" s="44"/>
      <c r="C16" s="739" t="s">
        <v>691</v>
      </c>
      <c r="D16" s="740"/>
      <c r="E16" s="145">
        <v>360975679</v>
      </c>
      <c r="F16" s="145">
        <v>53980770</v>
      </c>
      <c r="G16" s="145">
        <v>37450082</v>
      </c>
      <c r="H16" s="145">
        <v>0</v>
      </c>
      <c r="I16" s="145">
        <v>0</v>
      </c>
      <c r="J16" s="145">
        <v>206235</v>
      </c>
      <c r="K16" s="145">
        <v>0</v>
      </c>
      <c r="L16" s="142">
        <v>0</v>
      </c>
      <c r="M16" s="311">
        <f>SUM(E16:L16)</f>
        <v>452612766</v>
      </c>
      <c r="N16" s="50" t="s">
        <v>94</v>
      </c>
      <c r="P16" s="217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3.8" thickBot="1" x14ac:dyDescent="0.3">
      <c r="A17" s="50"/>
      <c r="B17" s="33"/>
      <c r="C17" s="782"/>
      <c r="D17" s="783"/>
      <c r="E17" s="146"/>
      <c r="F17" s="146"/>
      <c r="G17" s="146"/>
      <c r="H17" s="146"/>
      <c r="I17" s="146"/>
      <c r="J17" s="146"/>
      <c r="K17" s="146"/>
      <c r="L17" s="143"/>
      <c r="M17" s="416"/>
      <c r="N17" s="50"/>
      <c r="P17" s="217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25.8" customHeight="1" x14ac:dyDescent="0.25">
      <c r="A18" s="50"/>
      <c r="B18" s="775" t="s">
        <v>49</v>
      </c>
      <c r="C18" s="776"/>
      <c r="D18" s="777"/>
      <c r="E18" s="307">
        <f>E12+E6</f>
        <v>1213125000</v>
      </c>
      <c r="F18" s="307">
        <f t="shared" ref="F18:M18" si="0">F12+F6</f>
        <v>176194800</v>
      </c>
      <c r="G18" s="307">
        <f t="shared" si="0"/>
        <v>695388457</v>
      </c>
      <c r="H18" s="307">
        <f t="shared" si="0"/>
        <v>0</v>
      </c>
      <c r="I18" s="307">
        <f t="shared" si="0"/>
        <v>0</v>
      </c>
      <c r="J18" s="307">
        <f t="shared" si="0"/>
        <v>1100000</v>
      </c>
      <c r="K18" s="307">
        <f t="shared" si="0"/>
        <v>0</v>
      </c>
      <c r="L18" s="307">
        <f t="shared" si="0"/>
        <v>0</v>
      </c>
      <c r="M18" s="307">
        <f t="shared" si="0"/>
        <v>2085808257</v>
      </c>
      <c r="N18" s="50"/>
      <c r="O18" s="219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x14ac:dyDescent="0.25">
      <c r="A19" s="50"/>
      <c r="B19" s="124" t="s">
        <v>97</v>
      </c>
      <c r="C19" s="125"/>
      <c r="D19" s="126"/>
      <c r="E19" s="308">
        <f>E12+E6</f>
        <v>1213125000</v>
      </c>
      <c r="F19" s="308">
        <f t="shared" ref="F19:M19" si="1">F12+F6</f>
        <v>176194800</v>
      </c>
      <c r="G19" s="308">
        <f t="shared" si="1"/>
        <v>695388457</v>
      </c>
      <c r="H19" s="308">
        <f t="shared" si="1"/>
        <v>0</v>
      </c>
      <c r="I19" s="308">
        <f t="shared" si="1"/>
        <v>0</v>
      </c>
      <c r="J19" s="308">
        <f t="shared" si="1"/>
        <v>1100000</v>
      </c>
      <c r="K19" s="308">
        <f t="shared" si="1"/>
        <v>0</v>
      </c>
      <c r="L19" s="308">
        <f t="shared" si="1"/>
        <v>0</v>
      </c>
      <c r="M19" s="308">
        <f t="shared" si="1"/>
        <v>2085808257</v>
      </c>
      <c r="N19" s="50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3.8" thickBot="1" x14ac:dyDescent="0.3">
      <c r="A20" s="50"/>
      <c r="B20" s="127" t="s">
        <v>158</v>
      </c>
      <c r="C20" s="128"/>
      <c r="D20" s="129"/>
      <c r="E20" s="309">
        <f>E18-E19</f>
        <v>0</v>
      </c>
      <c r="F20" s="309">
        <f t="shared" ref="F20:M20" si="2">F18-F19</f>
        <v>0</v>
      </c>
      <c r="G20" s="309">
        <f t="shared" si="2"/>
        <v>0</v>
      </c>
      <c r="H20" s="309">
        <f t="shared" si="2"/>
        <v>0</v>
      </c>
      <c r="I20" s="309">
        <f t="shared" si="2"/>
        <v>0</v>
      </c>
      <c r="J20" s="309">
        <f t="shared" si="2"/>
        <v>0</v>
      </c>
      <c r="K20" s="309">
        <f t="shared" si="2"/>
        <v>0</v>
      </c>
      <c r="L20" s="309">
        <f t="shared" si="2"/>
        <v>0</v>
      </c>
      <c r="M20" s="309">
        <f t="shared" si="2"/>
        <v>0</v>
      </c>
      <c r="N20" s="50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25.8" customHeight="1" x14ac:dyDescent="0.25">
      <c r="A21" s="50"/>
      <c r="B21" s="775" t="s">
        <v>622</v>
      </c>
      <c r="C21" s="776"/>
      <c r="D21" s="776"/>
      <c r="E21" s="307">
        <f>E8+E14</f>
        <v>1315044713</v>
      </c>
      <c r="F21" s="307">
        <f t="shared" ref="F21:M21" si="3">F8+F14</f>
        <v>190944188</v>
      </c>
      <c r="G21" s="307">
        <f t="shared" si="3"/>
        <v>686288969</v>
      </c>
      <c r="H21" s="307">
        <f t="shared" si="3"/>
        <v>7778838</v>
      </c>
      <c r="I21" s="307">
        <f t="shared" si="3"/>
        <v>0</v>
      </c>
      <c r="J21" s="307">
        <f t="shared" si="3"/>
        <v>1300000</v>
      </c>
      <c r="K21" s="307">
        <f t="shared" si="3"/>
        <v>0</v>
      </c>
      <c r="L21" s="307">
        <f t="shared" si="3"/>
        <v>0</v>
      </c>
      <c r="M21" s="307">
        <f t="shared" si="3"/>
        <v>2201356708</v>
      </c>
      <c r="N21" s="50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x14ac:dyDescent="0.25">
      <c r="A22" s="50"/>
      <c r="B22" s="124" t="s">
        <v>97</v>
      </c>
      <c r="C22" s="125"/>
      <c r="D22" s="126"/>
      <c r="E22" s="308">
        <f>E8+E14</f>
        <v>1315044713</v>
      </c>
      <c r="F22" s="308">
        <f t="shared" ref="F22:M22" si="4">F8+F14</f>
        <v>190944188</v>
      </c>
      <c r="G22" s="308">
        <f t="shared" si="4"/>
        <v>686288969</v>
      </c>
      <c r="H22" s="308">
        <f t="shared" si="4"/>
        <v>7778838</v>
      </c>
      <c r="I22" s="308">
        <f t="shared" si="4"/>
        <v>0</v>
      </c>
      <c r="J22" s="308">
        <f t="shared" si="4"/>
        <v>1300000</v>
      </c>
      <c r="K22" s="308">
        <f t="shared" si="4"/>
        <v>0</v>
      </c>
      <c r="L22" s="308">
        <f t="shared" si="4"/>
        <v>0</v>
      </c>
      <c r="M22" s="308">
        <f t="shared" si="4"/>
        <v>2201356708</v>
      </c>
      <c r="N22" s="50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3.8" thickBot="1" x14ac:dyDescent="0.3">
      <c r="A23" s="50"/>
      <c r="B23" s="127" t="s">
        <v>158</v>
      </c>
      <c r="C23" s="128"/>
      <c r="D23" s="129"/>
      <c r="E23" s="309">
        <v>0</v>
      </c>
      <c r="F23" s="309">
        <v>0</v>
      </c>
      <c r="G23" s="309">
        <v>0</v>
      </c>
      <c r="H23" s="309">
        <v>0</v>
      </c>
      <c r="I23" s="309">
        <v>0</v>
      </c>
      <c r="J23" s="309">
        <v>0</v>
      </c>
      <c r="K23" s="309">
        <v>0</v>
      </c>
      <c r="L23" s="309">
        <v>0</v>
      </c>
      <c r="M23" s="309">
        <v>0</v>
      </c>
      <c r="N23" s="50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24.6" customHeight="1" x14ac:dyDescent="0.25">
      <c r="A24" s="50"/>
      <c r="B24" s="775" t="s">
        <v>694</v>
      </c>
      <c r="C24" s="776"/>
      <c r="D24" s="776"/>
      <c r="E24" s="307">
        <f>E10+E16</f>
        <v>1198243784</v>
      </c>
      <c r="F24" s="307">
        <f t="shared" ref="F24:M24" si="5">F10+F16</f>
        <v>163913932</v>
      </c>
      <c r="G24" s="307">
        <f t="shared" si="5"/>
        <v>562332537</v>
      </c>
      <c r="H24" s="307">
        <f t="shared" si="5"/>
        <v>7778838</v>
      </c>
      <c r="I24" s="307">
        <f t="shared" si="5"/>
        <v>0</v>
      </c>
      <c r="J24" s="307">
        <f t="shared" si="5"/>
        <v>1187195</v>
      </c>
      <c r="K24" s="307">
        <f t="shared" si="5"/>
        <v>0</v>
      </c>
      <c r="L24" s="307">
        <f t="shared" si="5"/>
        <v>0</v>
      </c>
      <c r="M24" s="307">
        <f t="shared" si="5"/>
        <v>1933456286</v>
      </c>
      <c r="N24" s="50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x14ac:dyDescent="0.25">
      <c r="A25" s="50"/>
      <c r="B25" s="124" t="s">
        <v>97</v>
      </c>
      <c r="C25" s="125"/>
      <c r="D25" s="126"/>
      <c r="E25" s="308">
        <f>E10+E16</f>
        <v>1198243784</v>
      </c>
      <c r="F25" s="308">
        <f t="shared" ref="F25:M25" si="6">F10+F16</f>
        <v>163913932</v>
      </c>
      <c r="G25" s="308">
        <f t="shared" si="6"/>
        <v>562332537</v>
      </c>
      <c r="H25" s="308">
        <f t="shared" si="6"/>
        <v>7778838</v>
      </c>
      <c r="I25" s="308">
        <f t="shared" si="6"/>
        <v>0</v>
      </c>
      <c r="J25" s="308">
        <f t="shared" si="6"/>
        <v>1187195</v>
      </c>
      <c r="K25" s="308">
        <f t="shared" si="6"/>
        <v>0</v>
      </c>
      <c r="L25" s="308">
        <f t="shared" si="6"/>
        <v>0</v>
      </c>
      <c r="M25" s="308">
        <f t="shared" si="6"/>
        <v>1933456286</v>
      </c>
      <c r="N25" s="50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13.8" thickBot="1" x14ac:dyDescent="0.3">
      <c r="A26" s="50"/>
      <c r="B26" s="127" t="s">
        <v>158</v>
      </c>
      <c r="C26" s="128"/>
      <c r="D26" s="129"/>
      <c r="E26" s="309">
        <v>0</v>
      </c>
      <c r="F26" s="309">
        <v>0</v>
      </c>
      <c r="G26" s="309">
        <v>0</v>
      </c>
      <c r="H26" s="309">
        <v>0</v>
      </c>
      <c r="I26" s="309">
        <v>0</v>
      </c>
      <c r="J26" s="309">
        <v>0</v>
      </c>
      <c r="K26" s="309">
        <v>0</v>
      </c>
      <c r="L26" s="309">
        <v>0</v>
      </c>
      <c r="M26" s="309">
        <v>0</v>
      </c>
      <c r="N26" s="50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x14ac:dyDescent="0.25">
      <c r="A27" s="50"/>
      <c r="B27" s="32"/>
      <c r="C27" s="32"/>
      <c r="D27" s="47"/>
      <c r="E27" s="48"/>
      <c r="F27" s="48"/>
      <c r="G27" s="48"/>
      <c r="H27" s="48"/>
      <c r="I27" s="48"/>
      <c r="J27" s="48"/>
      <c r="K27" s="48"/>
      <c r="L27" s="48"/>
      <c r="M27" s="48"/>
      <c r="N27" s="50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x14ac:dyDescent="0.25">
      <c r="A28" s="50"/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3"/>
      <c r="N28" s="50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x14ac:dyDescent="0.25">
      <c r="A29" s="50"/>
      <c r="B29" s="34"/>
      <c r="C29" s="34"/>
      <c r="D29" s="34"/>
      <c r="E29" s="35"/>
      <c r="F29" s="36"/>
      <c r="G29" s="36"/>
      <c r="H29" s="36"/>
      <c r="I29" s="38"/>
      <c r="J29" s="36"/>
      <c r="K29" s="36"/>
      <c r="L29" s="36"/>
      <c r="M29" s="36"/>
      <c r="N29" s="50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x14ac:dyDescent="0.25">
      <c r="A30" s="50"/>
      <c r="B30" s="3" t="s">
        <v>250</v>
      </c>
      <c r="C30" s="8"/>
      <c r="D30" s="8"/>
      <c r="E30" s="8"/>
      <c r="F30" s="8"/>
      <c r="G30" s="8"/>
      <c r="H30" s="173"/>
      <c r="I30" s="8"/>
      <c r="J30" s="8"/>
      <c r="K30" s="173" t="s">
        <v>581</v>
      </c>
      <c r="L30" s="8"/>
      <c r="M30" s="3" t="s">
        <v>385</v>
      </c>
      <c r="N30" s="50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13.8" thickBot="1" x14ac:dyDescent="0.3">
      <c r="A31" s="5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50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ht="12.75" customHeight="1" x14ac:dyDescent="0.25">
      <c r="A32" s="50"/>
      <c r="B32" s="703" t="s">
        <v>139</v>
      </c>
      <c r="C32" s="704"/>
      <c r="D32" s="705"/>
      <c r="E32" s="724" t="s">
        <v>134</v>
      </c>
      <c r="F32" s="729" t="s">
        <v>135</v>
      </c>
      <c r="G32" s="729" t="s">
        <v>136</v>
      </c>
      <c r="H32" s="729" t="s">
        <v>155</v>
      </c>
      <c r="I32" s="729" t="s">
        <v>170</v>
      </c>
      <c r="J32" s="729" t="s">
        <v>154</v>
      </c>
      <c r="K32" s="729" t="s">
        <v>157</v>
      </c>
      <c r="L32" s="729" t="s">
        <v>186</v>
      </c>
      <c r="M32" s="731" t="s">
        <v>38</v>
      </c>
      <c r="N32" s="50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x14ac:dyDescent="0.25">
      <c r="A33" s="50"/>
      <c r="B33" s="706"/>
      <c r="C33" s="707"/>
      <c r="D33" s="708"/>
      <c r="E33" s="734"/>
      <c r="F33" s="726"/>
      <c r="G33" s="726"/>
      <c r="H33" s="730"/>
      <c r="I33" s="730"/>
      <c r="J33" s="730"/>
      <c r="K33" s="730"/>
      <c r="L33" s="730"/>
      <c r="M33" s="732"/>
      <c r="N33" s="50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spans="1:35" ht="76.5" customHeight="1" thickBot="1" x14ac:dyDescent="0.3">
      <c r="A34" s="50"/>
      <c r="B34" s="706"/>
      <c r="C34" s="707"/>
      <c r="D34" s="708"/>
      <c r="E34" s="734"/>
      <c r="F34" s="726"/>
      <c r="G34" s="726"/>
      <c r="H34" s="730"/>
      <c r="I34" s="730"/>
      <c r="J34" s="730"/>
      <c r="K34" s="730"/>
      <c r="L34" s="730"/>
      <c r="M34" s="732"/>
      <c r="N34" s="50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spans="1:35" ht="35.25" customHeight="1" x14ac:dyDescent="0.25">
      <c r="A35" s="50"/>
      <c r="B35" s="738" t="s">
        <v>639</v>
      </c>
      <c r="C35" s="739"/>
      <c r="D35" s="740"/>
      <c r="E35" s="167">
        <v>850000</v>
      </c>
      <c r="F35" s="167">
        <v>280840</v>
      </c>
      <c r="G35" s="166">
        <v>3420000</v>
      </c>
      <c r="H35" s="167">
        <v>14300000</v>
      </c>
      <c r="I35" s="168">
        <v>850000</v>
      </c>
      <c r="J35" s="167">
        <v>0</v>
      </c>
      <c r="K35" s="169">
        <v>0</v>
      </c>
      <c r="L35" s="167"/>
      <c r="M35" s="142">
        <f t="shared" ref="M35:M36" si="7">SUM(E35:L35)</f>
        <v>19700840</v>
      </c>
      <c r="N35" s="50" t="s">
        <v>93</v>
      </c>
      <c r="Q35" s="18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1:35" ht="13.8" thickBot="1" x14ac:dyDescent="0.3">
      <c r="A36" s="50"/>
      <c r="B36" s="741"/>
      <c r="C36" s="742"/>
      <c r="D36" s="743"/>
      <c r="E36" s="158">
        <v>0</v>
      </c>
      <c r="F36" s="158">
        <v>0</v>
      </c>
      <c r="G36" s="159">
        <v>0</v>
      </c>
      <c r="H36" s="160">
        <v>0</v>
      </c>
      <c r="I36" s="161">
        <v>0</v>
      </c>
      <c r="J36" s="160">
        <v>0</v>
      </c>
      <c r="K36" s="162">
        <v>93133136</v>
      </c>
      <c r="L36" s="160">
        <v>0</v>
      </c>
      <c r="M36" s="163">
        <f t="shared" si="7"/>
        <v>93133136</v>
      </c>
      <c r="N36" s="50" t="s">
        <v>94</v>
      </c>
      <c r="O36" s="219">
        <f>M36+M35</f>
        <v>112833976</v>
      </c>
      <c r="P36" s="217">
        <f>M35+M36+'Felhalmozási kiadások'!I19</f>
        <v>263033975</v>
      </c>
      <c r="Q36" s="188"/>
      <c r="R36" s="8"/>
      <c r="S36" s="8"/>
      <c r="T36" s="8"/>
      <c r="U36" s="8"/>
      <c r="V36" s="8"/>
      <c r="W36" s="188"/>
      <c r="X36" s="18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ht="26.4" customHeight="1" x14ac:dyDescent="0.25">
      <c r="A37" s="50"/>
      <c r="B37" s="738" t="s">
        <v>640</v>
      </c>
      <c r="C37" s="739"/>
      <c r="D37" s="740"/>
      <c r="E37" s="432">
        <v>850000</v>
      </c>
      <c r="F37" s="432">
        <v>280840</v>
      </c>
      <c r="G37" s="427">
        <f>3512300+1010145+346481</f>
        <v>4868926</v>
      </c>
      <c r="H37" s="428">
        <v>14300000</v>
      </c>
      <c r="I37" s="429">
        <v>850000</v>
      </c>
      <c r="J37" s="428">
        <v>0</v>
      </c>
      <c r="K37" s="430">
        <v>0</v>
      </c>
      <c r="L37" s="428">
        <v>0</v>
      </c>
      <c r="M37" s="431">
        <f>SUM(E37:L37)</f>
        <v>21149766</v>
      </c>
      <c r="N37" s="50" t="s">
        <v>93</v>
      </c>
      <c r="O37" s="219"/>
      <c r="P37" s="217"/>
      <c r="Q37" s="188"/>
      <c r="R37" s="8"/>
      <c r="S37" s="8"/>
      <c r="T37" s="8"/>
      <c r="U37" s="8"/>
      <c r="V37" s="8"/>
      <c r="W37" s="188"/>
      <c r="X37" s="18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13.8" thickBot="1" x14ac:dyDescent="0.3">
      <c r="A38" s="50"/>
      <c r="B38" s="741"/>
      <c r="C38" s="742"/>
      <c r="D38" s="743"/>
      <c r="E38" s="426"/>
      <c r="F38" s="426"/>
      <c r="G38" s="427"/>
      <c r="H38" s="428"/>
      <c r="I38" s="429"/>
      <c r="J38" s="428"/>
      <c r="K38" s="430">
        <f>250776953-2515901-2947040-1105140-1491210-75499758-35454887-552570-1473520-894113-1010145</f>
        <v>127832669</v>
      </c>
      <c r="L38" s="428"/>
      <c r="M38" s="431">
        <f>SUM(E38:L38)</f>
        <v>127832669</v>
      </c>
      <c r="N38" s="50" t="s">
        <v>94</v>
      </c>
      <c r="O38" s="219"/>
      <c r="P38" s="217"/>
      <c r="Q38" s="188"/>
      <c r="R38" s="8"/>
      <c r="S38" s="8"/>
      <c r="T38" s="8"/>
      <c r="U38" s="8"/>
      <c r="V38" s="8"/>
      <c r="W38" s="188"/>
      <c r="X38" s="18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5" ht="18" customHeight="1" x14ac:dyDescent="0.25">
      <c r="A39" s="50"/>
      <c r="B39" s="738" t="s">
        <v>980</v>
      </c>
      <c r="C39" s="739"/>
      <c r="D39" s="740"/>
      <c r="E39" s="598">
        <v>576885</v>
      </c>
      <c r="F39" s="598">
        <v>191251</v>
      </c>
      <c r="G39" s="166">
        <v>4552021</v>
      </c>
      <c r="H39" s="167">
        <v>11374362</v>
      </c>
      <c r="I39" s="168">
        <v>850000</v>
      </c>
      <c r="J39" s="167">
        <v>0</v>
      </c>
      <c r="K39" s="169">
        <v>0</v>
      </c>
      <c r="L39" s="167">
        <v>0</v>
      </c>
      <c r="M39" s="141">
        <f>SUM(E39:L39)</f>
        <v>17544519</v>
      </c>
      <c r="N39" s="50" t="s">
        <v>93</v>
      </c>
      <c r="O39" s="219"/>
      <c r="P39" s="217"/>
      <c r="Q39" s="188"/>
      <c r="R39" s="8"/>
      <c r="S39" s="8"/>
      <c r="T39" s="8"/>
      <c r="U39" s="8"/>
      <c r="V39" s="8"/>
      <c r="W39" s="188"/>
      <c r="X39" s="18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spans="1:35" ht="18" customHeight="1" thickBot="1" x14ac:dyDescent="0.3">
      <c r="A40" s="50"/>
      <c r="B40" s="741"/>
      <c r="C40" s="742"/>
      <c r="D40" s="743"/>
      <c r="E40" s="158"/>
      <c r="F40" s="158"/>
      <c r="G40" s="159"/>
      <c r="H40" s="160"/>
      <c r="I40" s="161"/>
      <c r="J40" s="160"/>
      <c r="K40" s="162">
        <v>0</v>
      </c>
      <c r="L40" s="160"/>
      <c r="M40" s="163">
        <f>SUM(E40:L40)</f>
        <v>0</v>
      </c>
      <c r="N40" s="50" t="s">
        <v>94</v>
      </c>
      <c r="O40" s="219"/>
      <c r="P40" s="217"/>
      <c r="Q40" s="188"/>
      <c r="R40" s="8"/>
      <c r="S40" s="8"/>
      <c r="T40" s="8"/>
      <c r="U40" s="8"/>
      <c r="V40" s="8"/>
      <c r="W40" s="188"/>
      <c r="X40" s="18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spans="1:35" x14ac:dyDescent="0.25">
      <c r="A41" s="50"/>
      <c r="B41" s="117" t="s">
        <v>39</v>
      </c>
      <c r="C41" s="118"/>
      <c r="D41" s="176" t="s">
        <v>50</v>
      </c>
      <c r="E41" s="307">
        <f t="shared" ref="E41:M41" si="8">SUM(E35:E36)</f>
        <v>850000</v>
      </c>
      <c r="F41" s="307">
        <f t="shared" si="8"/>
        <v>280840</v>
      </c>
      <c r="G41" s="307">
        <f t="shared" si="8"/>
        <v>3420000</v>
      </c>
      <c r="H41" s="307">
        <f t="shared" si="8"/>
        <v>14300000</v>
      </c>
      <c r="I41" s="307">
        <f t="shared" si="8"/>
        <v>850000</v>
      </c>
      <c r="J41" s="307">
        <f t="shared" si="8"/>
        <v>0</v>
      </c>
      <c r="K41" s="307">
        <f t="shared" si="8"/>
        <v>93133136</v>
      </c>
      <c r="L41" s="307">
        <f t="shared" si="8"/>
        <v>0</v>
      </c>
      <c r="M41" s="307">
        <f t="shared" si="8"/>
        <v>112833976</v>
      </c>
      <c r="N41" s="180"/>
      <c r="O41" s="219">
        <f>SUM(E41:L41)</f>
        <v>112833976</v>
      </c>
      <c r="P41" s="217">
        <f>SUM(M35:M36)</f>
        <v>112833976</v>
      </c>
      <c r="Q41" s="62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spans="1:35" x14ac:dyDescent="0.25">
      <c r="A42" s="50"/>
      <c r="B42" s="119" t="s">
        <v>98</v>
      </c>
      <c r="C42" s="120"/>
      <c r="D42" s="121"/>
      <c r="E42" s="308">
        <f>E36</f>
        <v>0</v>
      </c>
      <c r="F42" s="308">
        <f t="shared" ref="F42:M42" si="9">F36</f>
        <v>0</v>
      </c>
      <c r="G42" s="308">
        <f t="shared" si="9"/>
        <v>0</v>
      </c>
      <c r="H42" s="308">
        <f t="shared" si="9"/>
        <v>0</v>
      </c>
      <c r="I42" s="308">
        <f t="shared" si="9"/>
        <v>0</v>
      </c>
      <c r="J42" s="308">
        <f t="shared" si="9"/>
        <v>0</v>
      </c>
      <c r="K42" s="308">
        <f t="shared" si="9"/>
        <v>93133136</v>
      </c>
      <c r="L42" s="308">
        <f t="shared" si="9"/>
        <v>0</v>
      </c>
      <c r="M42" s="308">
        <f t="shared" si="9"/>
        <v>93133136</v>
      </c>
      <c r="N42" s="180"/>
      <c r="O42" s="219"/>
      <c r="P42" s="217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x14ac:dyDescent="0.25">
      <c r="A43" s="50"/>
      <c r="B43" s="119" t="s">
        <v>99</v>
      </c>
      <c r="C43" s="120"/>
      <c r="D43" s="121"/>
      <c r="E43" s="308">
        <f>E41-E42</f>
        <v>850000</v>
      </c>
      <c r="F43" s="308">
        <f t="shared" ref="F43:M43" si="10">F41-F42</f>
        <v>280840</v>
      </c>
      <c r="G43" s="308">
        <f t="shared" si="10"/>
        <v>3420000</v>
      </c>
      <c r="H43" s="308">
        <f t="shared" si="10"/>
        <v>14300000</v>
      </c>
      <c r="I43" s="308">
        <f t="shared" si="10"/>
        <v>850000</v>
      </c>
      <c r="J43" s="308">
        <f t="shared" si="10"/>
        <v>0</v>
      </c>
      <c r="K43" s="308">
        <f t="shared" si="10"/>
        <v>0</v>
      </c>
      <c r="L43" s="308">
        <f t="shared" si="10"/>
        <v>0</v>
      </c>
      <c r="M43" s="308">
        <f t="shared" si="10"/>
        <v>19700840</v>
      </c>
      <c r="N43" s="180"/>
      <c r="O43" s="219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ht="13.8" thickBot="1" x14ac:dyDescent="0.3">
      <c r="A44" s="50"/>
      <c r="B44" s="137" t="s">
        <v>100</v>
      </c>
      <c r="C44" s="122"/>
      <c r="D44" s="123"/>
      <c r="E44" s="309">
        <v>0</v>
      </c>
      <c r="F44" s="309">
        <v>0</v>
      </c>
      <c r="G44" s="309">
        <v>0</v>
      </c>
      <c r="H44" s="309">
        <v>0</v>
      </c>
      <c r="I44" s="309">
        <v>0</v>
      </c>
      <c r="J44" s="309">
        <v>0</v>
      </c>
      <c r="K44" s="309">
        <v>0</v>
      </c>
      <c r="L44" s="309">
        <v>0</v>
      </c>
      <c r="M44" s="309">
        <v>0</v>
      </c>
      <c r="N44" s="180"/>
      <c r="O44" s="219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x14ac:dyDescent="0.25">
      <c r="A45" s="50"/>
      <c r="B45" s="117" t="s">
        <v>39</v>
      </c>
      <c r="C45" s="118"/>
      <c r="D45" s="176" t="s">
        <v>623</v>
      </c>
      <c r="E45" s="307">
        <f>E37+E38</f>
        <v>850000</v>
      </c>
      <c r="F45" s="307">
        <f t="shared" ref="F45:M45" si="11">F37+F38</f>
        <v>280840</v>
      </c>
      <c r="G45" s="307">
        <f t="shared" si="11"/>
        <v>4868926</v>
      </c>
      <c r="H45" s="307">
        <f t="shared" si="11"/>
        <v>14300000</v>
      </c>
      <c r="I45" s="307">
        <f t="shared" si="11"/>
        <v>850000</v>
      </c>
      <c r="J45" s="307">
        <f t="shared" si="11"/>
        <v>0</v>
      </c>
      <c r="K45" s="307">
        <f t="shared" si="11"/>
        <v>127832669</v>
      </c>
      <c r="L45" s="307">
        <f t="shared" si="11"/>
        <v>0</v>
      </c>
      <c r="M45" s="307">
        <f t="shared" si="11"/>
        <v>148982435</v>
      </c>
      <c r="N45" s="180"/>
      <c r="O45" s="219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x14ac:dyDescent="0.25">
      <c r="A46" s="50"/>
      <c r="B46" s="119" t="s">
        <v>98</v>
      </c>
      <c r="C46" s="120"/>
      <c r="D46" s="121"/>
      <c r="E46" s="308">
        <f>E38</f>
        <v>0</v>
      </c>
      <c r="F46" s="308">
        <f t="shared" ref="F46:M46" si="12">F38</f>
        <v>0</v>
      </c>
      <c r="G46" s="308">
        <f t="shared" si="12"/>
        <v>0</v>
      </c>
      <c r="H46" s="308">
        <f t="shared" si="12"/>
        <v>0</v>
      </c>
      <c r="I46" s="308">
        <f t="shared" si="12"/>
        <v>0</v>
      </c>
      <c r="J46" s="308">
        <f t="shared" si="12"/>
        <v>0</v>
      </c>
      <c r="K46" s="308">
        <f t="shared" si="12"/>
        <v>127832669</v>
      </c>
      <c r="L46" s="308">
        <f t="shared" si="12"/>
        <v>0</v>
      </c>
      <c r="M46" s="308">
        <f t="shared" si="12"/>
        <v>127832669</v>
      </c>
      <c r="N46" s="180"/>
      <c r="O46" s="219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x14ac:dyDescent="0.25">
      <c r="A47" s="50"/>
      <c r="B47" s="119" t="s">
        <v>99</v>
      </c>
      <c r="C47" s="120"/>
      <c r="D47" s="121"/>
      <c r="E47" s="308">
        <f>E37</f>
        <v>850000</v>
      </c>
      <c r="F47" s="308">
        <f t="shared" ref="F47:M47" si="13">F37</f>
        <v>280840</v>
      </c>
      <c r="G47" s="308">
        <f t="shared" si="13"/>
        <v>4868926</v>
      </c>
      <c r="H47" s="308">
        <f t="shared" si="13"/>
        <v>14300000</v>
      </c>
      <c r="I47" s="308">
        <f t="shared" si="13"/>
        <v>850000</v>
      </c>
      <c r="J47" s="308">
        <f t="shared" si="13"/>
        <v>0</v>
      </c>
      <c r="K47" s="308">
        <f t="shared" si="13"/>
        <v>0</v>
      </c>
      <c r="L47" s="308">
        <f t="shared" si="13"/>
        <v>0</v>
      </c>
      <c r="M47" s="308">
        <f t="shared" si="13"/>
        <v>21149766</v>
      </c>
      <c r="N47" s="180"/>
      <c r="O47" s="219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13.8" thickBot="1" x14ac:dyDescent="0.3">
      <c r="A48" s="50"/>
      <c r="B48" s="137" t="s">
        <v>100</v>
      </c>
      <c r="C48" s="122"/>
      <c r="D48" s="123"/>
      <c r="E48" s="309">
        <v>0</v>
      </c>
      <c r="F48" s="309">
        <v>0</v>
      </c>
      <c r="G48" s="309">
        <v>0</v>
      </c>
      <c r="H48" s="309">
        <v>0</v>
      </c>
      <c r="I48" s="309">
        <v>0</v>
      </c>
      <c r="J48" s="309">
        <v>0</v>
      </c>
      <c r="K48" s="309">
        <v>0</v>
      </c>
      <c r="L48" s="309">
        <v>0</v>
      </c>
      <c r="M48" s="309">
        <v>0</v>
      </c>
      <c r="N48" s="180"/>
      <c r="O48" s="219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x14ac:dyDescent="0.25">
      <c r="A49" s="50"/>
      <c r="B49" s="117" t="s">
        <v>39</v>
      </c>
      <c r="C49" s="118"/>
      <c r="D49" s="176" t="s">
        <v>979</v>
      </c>
      <c r="E49" s="307">
        <f>E39+E40</f>
        <v>576885</v>
      </c>
      <c r="F49" s="307">
        <f t="shared" ref="F49:M49" si="14">F39+F40</f>
        <v>191251</v>
      </c>
      <c r="G49" s="307">
        <f t="shared" si="14"/>
        <v>4552021</v>
      </c>
      <c r="H49" s="307">
        <f t="shared" si="14"/>
        <v>11374362</v>
      </c>
      <c r="I49" s="307">
        <f t="shared" si="14"/>
        <v>850000</v>
      </c>
      <c r="J49" s="307">
        <f t="shared" si="14"/>
        <v>0</v>
      </c>
      <c r="K49" s="307">
        <f t="shared" si="14"/>
        <v>0</v>
      </c>
      <c r="L49" s="307">
        <f t="shared" si="14"/>
        <v>0</v>
      </c>
      <c r="M49" s="307">
        <f t="shared" si="14"/>
        <v>17544519</v>
      </c>
      <c r="N49" s="180"/>
      <c r="O49" s="219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x14ac:dyDescent="0.25">
      <c r="A50" s="50"/>
      <c r="B50" s="119" t="s">
        <v>98</v>
      </c>
      <c r="C50" s="120"/>
      <c r="D50" s="121"/>
      <c r="E50" s="308">
        <f>E40</f>
        <v>0</v>
      </c>
      <c r="F50" s="308">
        <f t="shared" ref="F50:M50" si="15">F40</f>
        <v>0</v>
      </c>
      <c r="G50" s="308">
        <f t="shared" si="15"/>
        <v>0</v>
      </c>
      <c r="H50" s="308">
        <f t="shared" si="15"/>
        <v>0</v>
      </c>
      <c r="I50" s="308">
        <f t="shared" si="15"/>
        <v>0</v>
      </c>
      <c r="J50" s="308">
        <f t="shared" si="15"/>
        <v>0</v>
      </c>
      <c r="K50" s="308">
        <f t="shared" si="15"/>
        <v>0</v>
      </c>
      <c r="L50" s="308">
        <f t="shared" si="15"/>
        <v>0</v>
      </c>
      <c r="M50" s="308">
        <f t="shared" si="15"/>
        <v>0</v>
      </c>
      <c r="N50" s="180"/>
      <c r="O50" s="219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x14ac:dyDescent="0.25">
      <c r="A51" s="50"/>
      <c r="B51" s="119" t="s">
        <v>99</v>
      </c>
      <c r="C51" s="120"/>
      <c r="D51" s="121"/>
      <c r="E51" s="308">
        <f>E39</f>
        <v>576885</v>
      </c>
      <c r="F51" s="308">
        <f t="shared" ref="F51:M51" si="16">F39</f>
        <v>191251</v>
      </c>
      <c r="G51" s="308">
        <f t="shared" si="16"/>
        <v>4552021</v>
      </c>
      <c r="H51" s="308">
        <f t="shared" si="16"/>
        <v>11374362</v>
      </c>
      <c r="I51" s="308">
        <f t="shared" si="16"/>
        <v>850000</v>
      </c>
      <c r="J51" s="308">
        <f t="shared" si="16"/>
        <v>0</v>
      </c>
      <c r="K51" s="308">
        <f t="shared" si="16"/>
        <v>0</v>
      </c>
      <c r="L51" s="308">
        <f t="shared" si="16"/>
        <v>0</v>
      </c>
      <c r="M51" s="308">
        <f t="shared" si="16"/>
        <v>17544519</v>
      </c>
      <c r="N51" s="180"/>
      <c r="O51" s="219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ht="13.8" thickBot="1" x14ac:dyDescent="0.3">
      <c r="A52" s="50"/>
      <c r="B52" s="137" t="s">
        <v>100</v>
      </c>
      <c r="C52" s="122"/>
      <c r="D52" s="123"/>
      <c r="E52" s="309">
        <v>0</v>
      </c>
      <c r="F52" s="309">
        <v>0</v>
      </c>
      <c r="G52" s="309">
        <v>0</v>
      </c>
      <c r="H52" s="309">
        <v>0</v>
      </c>
      <c r="I52" s="309">
        <v>0</v>
      </c>
      <c r="J52" s="309">
        <v>0</v>
      </c>
      <c r="K52" s="309">
        <v>0</v>
      </c>
      <c r="L52" s="309">
        <v>0</v>
      </c>
      <c r="M52" s="309">
        <v>0</v>
      </c>
      <c r="N52" s="180"/>
      <c r="O52" s="219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spans="1:35" x14ac:dyDescent="0.25">
      <c r="A53" s="5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50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spans="1:35" x14ac:dyDescent="0.25">
      <c r="B54" s="3" t="s">
        <v>384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3" t="s">
        <v>394</v>
      </c>
    </row>
    <row r="55" spans="1:35" ht="13.8" thickBot="1" x14ac:dyDescent="0.3">
      <c r="B55" s="8"/>
      <c r="C55" s="8"/>
      <c r="D55" s="8"/>
      <c r="E55" s="8"/>
      <c r="F55" s="8"/>
      <c r="G55" s="8"/>
      <c r="H55" s="8"/>
      <c r="I55" s="8"/>
      <c r="J55" s="8"/>
      <c r="K55" s="8"/>
      <c r="L55" s="3"/>
    </row>
    <row r="56" spans="1:35" x14ac:dyDescent="0.25">
      <c r="B56" s="703" t="s">
        <v>37</v>
      </c>
      <c r="C56" s="704"/>
      <c r="D56" s="705"/>
      <c r="E56" s="724" t="s">
        <v>134</v>
      </c>
      <c r="F56" s="729" t="s">
        <v>135</v>
      </c>
      <c r="G56" s="729" t="s">
        <v>136</v>
      </c>
      <c r="H56" s="729" t="s">
        <v>185</v>
      </c>
      <c r="I56" s="729" t="s">
        <v>156</v>
      </c>
      <c r="J56" s="729" t="s">
        <v>154</v>
      </c>
      <c r="K56" s="729" t="s">
        <v>157</v>
      </c>
      <c r="L56" s="729" t="s">
        <v>137</v>
      </c>
      <c r="M56" s="731" t="s">
        <v>38</v>
      </c>
    </row>
    <row r="57" spans="1:35" x14ac:dyDescent="0.25">
      <c r="B57" s="706"/>
      <c r="C57" s="707"/>
      <c r="D57" s="708"/>
      <c r="E57" s="734"/>
      <c r="F57" s="726"/>
      <c r="G57" s="726"/>
      <c r="H57" s="730"/>
      <c r="I57" s="730"/>
      <c r="J57" s="730"/>
      <c r="K57" s="730"/>
      <c r="L57" s="730"/>
      <c r="M57" s="732"/>
    </row>
    <row r="58" spans="1:35" ht="43.5" customHeight="1" thickBot="1" x14ac:dyDescent="0.3">
      <c r="B58" s="778"/>
      <c r="C58" s="779"/>
      <c r="D58" s="780"/>
      <c r="E58" s="781"/>
      <c r="F58" s="727"/>
      <c r="G58" s="727"/>
      <c r="H58" s="733"/>
      <c r="I58" s="733"/>
      <c r="J58" s="733"/>
      <c r="K58" s="733"/>
      <c r="L58" s="733"/>
      <c r="M58" s="732"/>
    </row>
    <row r="59" spans="1:35" x14ac:dyDescent="0.25">
      <c r="B59" s="44"/>
      <c r="C59" s="709" t="s">
        <v>618</v>
      </c>
      <c r="D59" s="710"/>
      <c r="E59" s="145">
        <f>E6</f>
        <v>860539000</v>
      </c>
      <c r="F59" s="145">
        <f t="shared" ref="F59:M59" si="17">F6</f>
        <v>122791400</v>
      </c>
      <c r="G59" s="145">
        <f t="shared" si="17"/>
        <v>644915888</v>
      </c>
      <c r="H59" s="145">
        <f t="shared" si="17"/>
        <v>0</v>
      </c>
      <c r="I59" s="145">
        <f t="shared" si="17"/>
        <v>0</v>
      </c>
      <c r="J59" s="145">
        <f t="shared" si="17"/>
        <v>800000</v>
      </c>
      <c r="K59" s="145">
        <f t="shared" si="17"/>
        <v>0</v>
      </c>
      <c r="L59" s="145">
        <f t="shared" si="17"/>
        <v>0</v>
      </c>
      <c r="M59" s="311">
        <f t="shared" si="17"/>
        <v>1629046288</v>
      </c>
      <c r="N59" s="50" t="s">
        <v>94</v>
      </c>
    </row>
    <row r="60" spans="1:35" ht="13.8" thickBot="1" x14ac:dyDescent="0.3">
      <c r="B60" s="45"/>
      <c r="C60" s="719"/>
      <c r="D60" s="720"/>
      <c r="E60" s="164"/>
      <c r="F60" s="164"/>
      <c r="G60" s="164"/>
      <c r="H60" s="164"/>
      <c r="I60" s="164"/>
      <c r="J60" s="164"/>
      <c r="K60" s="164"/>
      <c r="L60" s="157"/>
      <c r="M60" s="156"/>
    </row>
    <row r="61" spans="1:35" ht="18" customHeight="1" x14ac:dyDescent="0.25">
      <c r="B61" s="33"/>
      <c r="C61" s="709" t="s">
        <v>620</v>
      </c>
      <c r="D61" s="710"/>
      <c r="E61" s="146">
        <f>E8</f>
        <v>940837642</v>
      </c>
      <c r="F61" s="146">
        <f t="shared" ref="F61:L61" si="18">F8</f>
        <v>132964589</v>
      </c>
      <c r="G61" s="146">
        <f t="shared" si="18"/>
        <v>635722635</v>
      </c>
      <c r="H61" s="146">
        <f t="shared" si="18"/>
        <v>7778838</v>
      </c>
      <c r="I61" s="146">
        <f t="shared" si="18"/>
        <v>0</v>
      </c>
      <c r="J61" s="146">
        <f t="shared" si="18"/>
        <v>1000000</v>
      </c>
      <c r="K61" s="146">
        <f t="shared" si="18"/>
        <v>0</v>
      </c>
      <c r="L61" s="146">
        <f t="shared" si="18"/>
        <v>0</v>
      </c>
      <c r="M61" s="416">
        <f>SUM(E61:L61)</f>
        <v>1718303704</v>
      </c>
      <c r="N61" s="50" t="s">
        <v>94</v>
      </c>
    </row>
    <row r="62" spans="1:35" ht="13.8" thickBot="1" x14ac:dyDescent="0.3">
      <c r="B62" s="33"/>
      <c r="C62" s="711"/>
      <c r="D62" s="712"/>
      <c r="E62" s="146"/>
      <c r="F62" s="146"/>
      <c r="G62" s="146"/>
      <c r="H62" s="146"/>
      <c r="I62" s="146"/>
      <c r="J62" s="146"/>
      <c r="K62" s="146"/>
      <c r="L62" s="146"/>
      <c r="M62" s="416"/>
    </row>
    <row r="63" spans="1:35" x14ac:dyDescent="0.25">
      <c r="B63" s="44"/>
      <c r="C63" s="709" t="s">
        <v>690</v>
      </c>
      <c r="D63" s="710"/>
      <c r="E63" s="145">
        <v>837268105</v>
      </c>
      <c r="F63" s="145">
        <v>109933162</v>
      </c>
      <c r="G63" s="145">
        <v>524882455</v>
      </c>
      <c r="H63" s="145">
        <v>7778838</v>
      </c>
      <c r="I63" s="145">
        <v>0</v>
      </c>
      <c r="J63" s="145">
        <v>980960</v>
      </c>
      <c r="K63" s="145">
        <v>0</v>
      </c>
      <c r="L63" s="145">
        <v>0</v>
      </c>
      <c r="M63" s="311">
        <f>SUM(E63:L63)</f>
        <v>1480843520</v>
      </c>
      <c r="N63" s="50" t="s">
        <v>94</v>
      </c>
    </row>
    <row r="64" spans="1:35" ht="13.8" thickBot="1" x14ac:dyDescent="0.3">
      <c r="B64" s="33"/>
      <c r="C64" s="711"/>
      <c r="D64" s="712"/>
      <c r="E64" s="146"/>
      <c r="F64" s="146"/>
      <c r="G64" s="146"/>
      <c r="H64" s="146"/>
      <c r="I64" s="146"/>
      <c r="J64" s="146"/>
      <c r="K64" s="146"/>
      <c r="L64" s="146"/>
      <c r="M64" s="416"/>
    </row>
    <row r="65" spans="2:14" x14ac:dyDescent="0.25">
      <c r="B65" s="44"/>
      <c r="C65" s="709" t="s">
        <v>619</v>
      </c>
      <c r="D65" s="710"/>
      <c r="E65" s="145">
        <f>E12</f>
        <v>352586000</v>
      </c>
      <c r="F65" s="145">
        <f t="shared" ref="F65:M65" si="19">F12</f>
        <v>53403400</v>
      </c>
      <c r="G65" s="145">
        <f t="shared" si="19"/>
        <v>50472569</v>
      </c>
      <c r="H65" s="145">
        <f t="shared" si="19"/>
        <v>0</v>
      </c>
      <c r="I65" s="145">
        <f t="shared" si="19"/>
        <v>0</v>
      </c>
      <c r="J65" s="145">
        <f t="shared" si="19"/>
        <v>300000</v>
      </c>
      <c r="K65" s="145">
        <f t="shared" si="19"/>
        <v>0</v>
      </c>
      <c r="L65" s="145">
        <f t="shared" si="19"/>
        <v>0</v>
      </c>
      <c r="M65" s="311">
        <f t="shared" si="19"/>
        <v>456761969</v>
      </c>
      <c r="N65" s="50" t="s">
        <v>94</v>
      </c>
    </row>
    <row r="66" spans="2:14" ht="13.8" thickBot="1" x14ac:dyDescent="0.3">
      <c r="B66" s="45"/>
      <c r="C66" s="719"/>
      <c r="D66" s="720"/>
      <c r="E66" s="164"/>
      <c r="F66" s="164"/>
      <c r="G66" s="164"/>
      <c r="H66" s="164"/>
      <c r="I66" s="164"/>
      <c r="J66" s="164"/>
      <c r="K66" s="164"/>
      <c r="L66" s="157"/>
      <c r="M66" s="156"/>
    </row>
    <row r="67" spans="2:14" x14ac:dyDescent="0.25">
      <c r="B67" s="33"/>
      <c r="C67" s="709" t="s">
        <v>621</v>
      </c>
      <c r="D67" s="710"/>
      <c r="E67" s="146">
        <f>E14</f>
        <v>374207071</v>
      </c>
      <c r="F67" s="146">
        <f t="shared" ref="F67:L67" si="20">F14</f>
        <v>57979599</v>
      </c>
      <c r="G67" s="146">
        <f t="shared" si="20"/>
        <v>50566334</v>
      </c>
      <c r="H67" s="146">
        <f t="shared" si="20"/>
        <v>0</v>
      </c>
      <c r="I67" s="146">
        <f t="shared" si="20"/>
        <v>0</v>
      </c>
      <c r="J67" s="146">
        <f t="shared" si="20"/>
        <v>300000</v>
      </c>
      <c r="K67" s="146">
        <f t="shared" si="20"/>
        <v>0</v>
      </c>
      <c r="L67" s="146">
        <f t="shared" si="20"/>
        <v>0</v>
      </c>
      <c r="M67" s="416">
        <f>SUM(E67:L67)</f>
        <v>483053004</v>
      </c>
      <c r="N67" s="50" t="s">
        <v>94</v>
      </c>
    </row>
    <row r="68" spans="2:14" ht="13.8" thickBot="1" x14ac:dyDescent="0.3">
      <c r="B68" s="33"/>
      <c r="C68" s="711"/>
      <c r="D68" s="712"/>
      <c r="E68" s="146"/>
      <c r="F68" s="146"/>
      <c r="G68" s="146"/>
      <c r="H68" s="146"/>
      <c r="I68" s="146"/>
      <c r="J68" s="146"/>
      <c r="K68" s="146"/>
      <c r="L68" s="143"/>
      <c r="M68" s="416"/>
    </row>
    <row r="69" spans="2:14" x14ac:dyDescent="0.25">
      <c r="B69" s="44"/>
      <c r="C69" s="709" t="s">
        <v>691</v>
      </c>
      <c r="D69" s="710"/>
      <c r="E69" s="145">
        <v>360975679</v>
      </c>
      <c r="F69" s="145">
        <v>53980770</v>
      </c>
      <c r="G69" s="145">
        <v>37450082</v>
      </c>
      <c r="H69" s="145">
        <v>0</v>
      </c>
      <c r="I69" s="145">
        <v>0</v>
      </c>
      <c r="J69" s="145">
        <v>206235</v>
      </c>
      <c r="K69" s="145">
        <v>0</v>
      </c>
      <c r="L69" s="142">
        <v>0</v>
      </c>
      <c r="M69" s="311">
        <f>SUM(E69:L69)</f>
        <v>452612766</v>
      </c>
      <c r="N69" s="50" t="s">
        <v>94</v>
      </c>
    </row>
    <row r="70" spans="2:14" ht="13.8" thickBot="1" x14ac:dyDescent="0.3">
      <c r="B70" s="33"/>
      <c r="C70" s="711"/>
      <c r="D70" s="712"/>
      <c r="E70" s="146"/>
      <c r="F70" s="146"/>
      <c r="G70" s="146"/>
      <c r="H70" s="146"/>
      <c r="I70" s="146"/>
      <c r="J70" s="146"/>
      <c r="K70" s="146"/>
      <c r="L70" s="143"/>
      <c r="M70" s="416"/>
    </row>
    <row r="71" spans="2:14" ht="24.6" customHeight="1" x14ac:dyDescent="0.25">
      <c r="B71" s="775" t="s">
        <v>49</v>
      </c>
      <c r="C71" s="776"/>
      <c r="D71" s="777"/>
      <c r="E71" s="307">
        <f>E65+E59</f>
        <v>1213125000</v>
      </c>
      <c r="F71" s="307">
        <f t="shared" ref="F71:M71" si="21">F65+F59</f>
        <v>176194800</v>
      </c>
      <c r="G71" s="307">
        <f t="shared" si="21"/>
        <v>695388457</v>
      </c>
      <c r="H71" s="307">
        <f t="shared" si="21"/>
        <v>0</v>
      </c>
      <c r="I71" s="307">
        <f t="shared" si="21"/>
        <v>0</v>
      </c>
      <c r="J71" s="307">
        <f t="shared" si="21"/>
        <v>1100000</v>
      </c>
      <c r="K71" s="307">
        <f t="shared" si="21"/>
        <v>0</v>
      </c>
      <c r="L71" s="307">
        <f t="shared" si="21"/>
        <v>0</v>
      </c>
      <c r="M71" s="307">
        <f t="shared" si="21"/>
        <v>2085808257</v>
      </c>
    </row>
    <row r="72" spans="2:14" x14ac:dyDescent="0.25">
      <c r="B72" s="124" t="s">
        <v>97</v>
      </c>
      <c r="C72" s="125"/>
      <c r="D72" s="126"/>
      <c r="E72" s="308">
        <f>E65+E59</f>
        <v>1213125000</v>
      </c>
      <c r="F72" s="308">
        <f t="shared" ref="F72:M72" si="22">F65+F59</f>
        <v>176194800</v>
      </c>
      <c r="G72" s="308">
        <f t="shared" si="22"/>
        <v>695388457</v>
      </c>
      <c r="H72" s="308">
        <f t="shared" si="22"/>
        <v>0</v>
      </c>
      <c r="I72" s="308">
        <f t="shared" si="22"/>
        <v>0</v>
      </c>
      <c r="J72" s="308">
        <f t="shared" si="22"/>
        <v>1100000</v>
      </c>
      <c r="K72" s="308">
        <f t="shared" si="22"/>
        <v>0</v>
      </c>
      <c r="L72" s="308">
        <f t="shared" si="22"/>
        <v>0</v>
      </c>
      <c r="M72" s="308">
        <f t="shared" si="22"/>
        <v>2085808257</v>
      </c>
    </row>
    <row r="73" spans="2:14" ht="13.8" thickBot="1" x14ac:dyDescent="0.3">
      <c r="B73" s="127" t="s">
        <v>158</v>
      </c>
      <c r="C73" s="128"/>
      <c r="D73" s="129"/>
      <c r="E73" s="309">
        <f>E71-E72</f>
        <v>0</v>
      </c>
      <c r="F73" s="309">
        <f t="shared" ref="F73:M73" si="23">F71-F72</f>
        <v>0</v>
      </c>
      <c r="G73" s="309">
        <f t="shared" si="23"/>
        <v>0</v>
      </c>
      <c r="H73" s="309">
        <f t="shared" si="23"/>
        <v>0</v>
      </c>
      <c r="I73" s="309">
        <f t="shared" si="23"/>
        <v>0</v>
      </c>
      <c r="J73" s="309">
        <f t="shared" si="23"/>
        <v>0</v>
      </c>
      <c r="K73" s="309">
        <f t="shared" si="23"/>
        <v>0</v>
      </c>
      <c r="L73" s="309">
        <f t="shared" si="23"/>
        <v>0</v>
      </c>
      <c r="M73" s="309">
        <f t="shared" si="23"/>
        <v>0</v>
      </c>
    </row>
    <row r="74" spans="2:14" ht="25.2" customHeight="1" x14ac:dyDescent="0.25">
      <c r="B74" s="775" t="s">
        <v>622</v>
      </c>
      <c r="C74" s="776"/>
      <c r="D74" s="777"/>
      <c r="E74" s="308">
        <f>E61+E67</f>
        <v>1315044713</v>
      </c>
      <c r="F74" s="308">
        <f t="shared" ref="F74:M74" si="24">F61+F67</f>
        <v>190944188</v>
      </c>
      <c r="G74" s="308">
        <f t="shared" si="24"/>
        <v>686288969</v>
      </c>
      <c r="H74" s="308">
        <f t="shared" si="24"/>
        <v>7778838</v>
      </c>
      <c r="I74" s="308">
        <f t="shared" si="24"/>
        <v>0</v>
      </c>
      <c r="J74" s="308">
        <f t="shared" si="24"/>
        <v>1300000</v>
      </c>
      <c r="K74" s="308">
        <f t="shared" si="24"/>
        <v>0</v>
      </c>
      <c r="L74" s="308">
        <f t="shared" si="24"/>
        <v>0</v>
      </c>
      <c r="M74" s="308">
        <f t="shared" si="24"/>
        <v>2201356708</v>
      </c>
    </row>
    <row r="75" spans="2:14" x14ac:dyDescent="0.25">
      <c r="B75" s="124" t="s">
        <v>97</v>
      </c>
      <c r="C75" s="125"/>
      <c r="D75" s="126"/>
      <c r="E75" s="308">
        <f>E61+E67</f>
        <v>1315044713</v>
      </c>
      <c r="F75" s="308">
        <f t="shared" ref="F75:M75" si="25">F61+F67</f>
        <v>190944188</v>
      </c>
      <c r="G75" s="308">
        <f t="shared" si="25"/>
        <v>686288969</v>
      </c>
      <c r="H75" s="308">
        <f t="shared" si="25"/>
        <v>7778838</v>
      </c>
      <c r="I75" s="308">
        <f t="shared" si="25"/>
        <v>0</v>
      </c>
      <c r="J75" s="308">
        <f t="shared" si="25"/>
        <v>1300000</v>
      </c>
      <c r="K75" s="308">
        <f t="shared" si="25"/>
        <v>0</v>
      </c>
      <c r="L75" s="308">
        <f t="shared" si="25"/>
        <v>0</v>
      </c>
      <c r="M75" s="308">
        <f t="shared" si="25"/>
        <v>2201356708</v>
      </c>
    </row>
    <row r="76" spans="2:14" ht="13.8" thickBot="1" x14ac:dyDescent="0.3">
      <c r="B76" s="127" t="s">
        <v>158</v>
      </c>
      <c r="C76" s="128"/>
      <c r="D76" s="129"/>
      <c r="E76" s="308">
        <v>0</v>
      </c>
      <c r="F76" s="308">
        <v>0</v>
      </c>
      <c r="G76" s="308">
        <v>0</v>
      </c>
      <c r="H76" s="308">
        <v>0</v>
      </c>
      <c r="I76" s="308">
        <v>0</v>
      </c>
      <c r="J76" s="308">
        <v>0</v>
      </c>
      <c r="K76" s="308">
        <v>0</v>
      </c>
      <c r="L76" s="308">
        <v>0</v>
      </c>
      <c r="M76" s="308">
        <v>0</v>
      </c>
    </row>
    <row r="77" spans="2:14" ht="25.2" customHeight="1" x14ac:dyDescent="0.25">
      <c r="B77" s="775" t="s">
        <v>694</v>
      </c>
      <c r="C77" s="776"/>
      <c r="D77" s="777"/>
      <c r="E77" s="307">
        <f>E63+E69</f>
        <v>1198243784</v>
      </c>
      <c r="F77" s="307">
        <f t="shared" ref="F77:M77" si="26">F63+F69</f>
        <v>163913932</v>
      </c>
      <c r="G77" s="307">
        <f t="shared" si="26"/>
        <v>562332537</v>
      </c>
      <c r="H77" s="307">
        <f t="shared" si="26"/>
        <v>7778838</v>
      </c>
      <c r="I77" s="307">
        <f t="shared" si="26"/>
        <v>0</v>
      </c>
      <c r="J77" s="307">
        <f t="shared" si="26"/>
        <v>1187195</v>
      </c>
      <c r="K77" s="307">
        <f t="shared" si="26"/>
        <v>0</v>
      </c>
      <c r="L77" s="307">
        <f t="shared" si="26"/>
        <v>0</v>
      </c>
      <c r="M77" s="307">
        <f t="shared" si="26"/>
        <v>1933456286</v>
      </c>
    </row>
    <row r="78" spans="2:14" x14ac:dyDescent="0.25">
      <c r="B78" s="124" t="s">
        <v>97</v>
      </c>
      <c r="C78" s="125"/>
      <c r="D78" s="126"/>
      <c r="E78" s="308">
        <f>E63+E69</f>
        <v>1198243784</v>
      </c>
      <c r="F78" s="308">
        <f t="shared" ref="F78:M78" si="27">F63+F69</f>
        <v>163913932</v>
      </c>
      <c r="G78" s="308">
        <f t="shared" si="27"/>
        <v>562332537</v>
      </c>
      <c r="H78" s="308">
        <f t="shared" si="27"/>
        <v>7778838</v>
      </c>
      <c r="I78" s="308">
        <f t="shared" si="27"/>
        <v>0</v>
      </c>
      <c r="J78" s="308">
        <f t="shared" si="27"/>
        <v>1187195</v>
      </c>
      <c r="K78" s="308">
        <f t="shared" si="27"/>
        <v>0</v>
      </c>
      <c r="L78" s="308">
        <f t="shared" si="27"/>
        <v>0</v>
      </c>
      <c r="M78" s="308">
        <f t="shared" si="27"/>
        <v>1933456286</v>
      </c>
    </row>
    <row r="79" spans="2:14" ht="13.8" thickBot="1" x14ac:dyDescent="0.3">
      <c r="B79" s="127" t="s">
        <v>158</v>
      </c>
      <c r="C79" s="128"/>
      <c r="D79" s="129"/>
      <c r="E79" s="308">
        <v>0</v>
      </c>
      <c r="F79" s="308">
        <v>0</v>
      </c>
      <c r="G79" s="308">
        <v>0</v>
      </c>
      <c r="H79" s="308">
        <v>0</v>
      </c>
      <c r="I79" s="308">
        <v>0</v>
      </c>
      <c r="J79" s="308">
        <v>0</v>
      </c>
      <c r="K79" s="308">
        <v>0</v>
      </c>
      <c r="L79" s="308">
        <v>0</v>
      </c>
      <c r="M79" s="308">
        <v>0</v>
      </c>
    </row>
    <row r="80" spans="2:14" x14ac:dyDescent="0.25">
      <c r="B80" s="703" t="s">
        <v>139</v>
      </c>
      <c r="C80" s="704"/>
      <c r="D80" s="704"/>
      <c r="E80" s="724" t="s">
        <v>134</v>
      </c>
      <c r="F80" s="729" t="s">
        <v>135</v>
      </c>
      <c r="G80" s="729" t="s">
        <v>136</v>
      </c>
      <c r="H80" s="729" t="s">
        <v>155</v>
      </c>
      <c r="I80" s="729" t="s">
        <v>170</v>
      </c>
      <c r="J80" s="729" t="s">
        <v>154</v>
      </c>
      <c r="K80" s="729" t="s">
        <v>157</v>
      </c>
      <c r="L80" s="729" t="s">
        <v>186</v>
      </c>
      <c r="M80" s="731" t="s">
        <v>38</v>
      </c>
    </row>
    <row r="81" spans="2:14" x14ac:dyDescent="0.25">
      <c r="B81" s="706"/>
      <c r="C81" s="707"/>
      <c r="D81" s="707"/>
      <c r="E81" s="734"/>
      <c r="F81" s="726"/>
      <c r="G81" s="726"/>
      <c r="H81" s="730"/>
      <c r="I81" s="730"/>
      <c r="J81" s="730"/>
      <c r="K81" s="730"/>
      <c r="L81" s="730"/>
      <c r="M81" s="732"/>
    </row>
    <row r="82" spans="2:14" ht="13.8" thickBot="1" x14ac:dyDescent="0.3">
      <c r="B82" s="706"/>
      <c r="C82" s="707"/>
      <c r="D82" s="707"/>
      <c r="E82" s="734"/>
      <c r="F82" s="726"/>
      <c r="G82" s="726"/>
      <c r="H82" s="730"/>
      <c r="I82" s="730"/>
      <c r="J82" s="730"/>
      <c r="K82" s="730"/>
      <c r="L82" s="730"/>
      <c r="M82" s="774"/>
    </row>
    <row r="83" spans="2:14" ht="33" customHeight="1" x14ac:dyDescent="0.25">
      <c r="B83" s="738" t="s">
        <v>639</v>
      </c>
      <c r="C83" s="739"/>
      <c r="D83" s="740"/>
      <c r="E83" s="167">
        <f>E35</f>
        <v>850000</v>
      </c>
      <c r="F83" s="167">
        <f t="shared" ref="F83:M83" si="28">F35</f>
        <v>280840</v>
      </c>
      <c r="G83" s="167">
        <f t="shared" si="28"/>
        <v>3420000</v>
      </c>
      <c r="H83" s="167">
        <f t="shared" si="28"/>
        <v>14300000</v>
      </c>
      <c r="I83" s="167">
        <f t="shared" si="28"/>
        <v>850000</v>
      </c>
      <c r="J83" s="167">
        <f t="shared" si="28"/>
        <v>0</v>
      </c>
      <c r="K83" s="167">
        <f t="shared" si="28"/>
        <v>0</v>
      </c>
      <c r="L83" s="167">
        <f t="shared" si="28"/>
        <v>0</v>
      </c>
      <c r="M83" s="167">
        <f t="shared" si="28"/>
        <v>19700840</v>
      </c>
      <c r="N83" s="50" t="s">
        <v>93</v>
      </c>
    </row>
    <row r="84" spans="2:14" ht="13.8" thickBot="1" x14ac:dyDescent="0.3">
      <c r="B84" s="741"/>
      <c r="C84" s="742"/>
      <c r="D84" s="743"/>
      <c r="E84" s="158">
        <f>E36</f>
        <v>0</v>
      </c>
      <c r="F84" s="158">
        <f t="shared" ref="F84:M84" si="29">F36</f>
        <v>0</v>
      </c>
      <c r="G84" s="158">
        <f t="shared" si="29"/>
        <v>0</v>
      </c>
      <c r="H84" s="158">
        <f t="shared" si="29"/>
        <v>0</v>
      </c>
      <c r="I84" s="158">
        <f t="shared" si="29"/>
        <v>0</v>
      </c>
      <c r="J84" s="158">
        <f t="shared" si="29"/>
        <v>0</v>
      </c>
      <c r="K84" s="310">
        <f t="shared" si="29"/>
        <v>93133136</v>
      </c>
      <c r="L84" s="158">
        <f t="shared" si="29"/>
        <v>0</v>
      </c>
      <c r="M84" s="310">
        <f t="shared" si="29"/>
        <v>93133136</v>
      </c>
      <c r="N84" s="50" t="s">
        <v>94</v>
      </c>
    </row>
    <row r="85" spans="2:14" ht="25.8" customHeight="1" x14ac:dyDescent="0.25">
      <c r="B85" s="738" t="s">
        <v>640</v>
      </c>
      <c r="C85" s="739"/>
      <c r="D85" s="740"/>
      <c r="E85" s="458">
        <f>E37</f>
        <v>850000</v>
      </c>
      <c r="F85" s="458">
        <f t="shared" ref="F85:L85" si="30">F37</f>
        <v>280840</v>
      </c>
      <c r="G85" s="458">
        <f t="shared" si="30"/>
        <v>4868926</v>
      </c>
      <c r="H85" s="458">
        <f t="shared" si="30"/>
        <v>14300000</v>
      </c>
      <c r="I85" s="458">
        <f t="shared" si="30"/>
        <v>850000</v>
      </c>
      <c r="J85" s="458">
        <f t="shared" si="30"/>
        <v>0</v>
      </c>
      <c r="K85" s="458">
        <f t="shared" si="30"/>
        <v>0</v>
      </c>
      <c r="L85" s="458">
        <f t="shared" si="30"/>
        <v>0</v>
      </c>
      <c r="M85" s="432">
        <f>SUM(E85:L85)</f>
        <v>21149766</v>
      </c>
      <c r="N85" s="50" t="s">
        <v>93</v>
      </c>
    </row>
    <row r="86" spans="2:14" ht="13.8" thickBot="1" x14ac:dyDescent="0.3">
      <c r="B86" s="741"/>
      <c r="C86" s="742"/>
      <c r="D86" s="743"/>
      <c r="E86" s="426"/>
      <c r="F86" s="426"/>
      <c r="G86" s="426"/>
      <c r="H86" s="426"/>
      <c r="I86" s="426"/>
      <c r="J86" s="426"/>
      <c r="K86" s="432">
        <f t="shared" ref="K86:L86" si="31">K38</f>
        <v>127832669</v>
      </c>
      <c r="L86" s="432">
        <f t="shared" si="31"/>
        <v>0</v>
      </c>
      <c r="M86" s="432">
        <f>SUM(E86:L86)</f>
        <v>127832669</v>
      </c>
      <c r="N86" s="50" t="s">
        <v>94</v>
      </c>
    </row>
    <row r="87" spans="2:14" ht="19.2" customHeight="1" x14ac:dyDescent="0.25">
      <c r="B87" s="738" t="s">
        <v>980</v>
      </c>
      <c r="C87" s="739"/>
      <c r="D87" s="740"/>
      <c r="E87" s="598">
        <v>576885</v>
      </c>
      <c r="F87" s="598">
        <v>191251</v>
      </c>
      <c r="G87" s="598">
        <v>4552021</v>
      </c>
      <c r="H87" s="598">
        <v>11374362</v>
      </c>
      <c r="I87" s="598">
        <v>850000</v>
      </c>
      <c r="J87" s="598">
        <v>0</v>
      </c>
      <c r="K87" s="598">
        <v>0</v>
      </c>
      <c r="L87" s="598">
        <v>0</v>
      </c>
      <c r="M87" s="598">
        <f>SUM(E87:L87)</f>
        <v>17544519</v>
      </c>
      <c r="N87" s="50" t="s">
        <v>93</v>
      </c>
    </row>
    <row r="88" spans="2:14" ht="19.2" customHeight="1" thickBot="1" x14ac:dyDescent="0.3">
      <c r="B88" s="741"/>
      <c r="C88" s="742"/>
      <c r="D88" s="743"/>
      <c r="E88" s="432"/>
      <c r="F88" s="432"/>
      <c r="G88" s="432"/>
      <c r="H88" s="432"/>
      <c r="I88" s="432"/>
      <c r="J88" s="432"/>
      <c r="K88" s="432">
        <v>0</v>
      </c>
      <c r="L88" s="432">
        <v>0</v>
      </c>
      <c r="M88" s="432">
        <f>SUM(E88:L88)</f>
        <v>0</v>
      </c>
      <c r="N88" s="50" t="s">
        <v>94</v>
      </c>
    </row>
    <row r="89" spans="2:14" x14ac:dyDescent="0.25">
      <c r="B89" s="117" t="s">
        <v>39</v>
      </c>
      <c r="C89" s="118"/>
      <c r="D89" s="176" t="s">
        <v>50</v>
      </c>
      <c r="E89" s="307">
        <f t="shared" ref="E89:M89" si="32">SUM(E83:E84)</f>
        <v>850000</v>
      </c>
      <c r="F89" s="307">
        <f t="shared" si="32"/>
        <v>280840</v>
      </c>
      <c r="G89" s="307">
        <f t="shared" si="32"/>
        <v>3420000</v>
      </c>
      <c r="H89" s="307">
        <f t="shared" si="32"/>
        <v>14300000</v>
      </c>
      <c r="I89" s="307">
        <f t="shared" si="32"/>
        <v>850000</v>
      </c>
      <c r="J89" s="307">
        <f t="shared" si="32"/>
        <v>0</v>
      </c>
      <c r="K89" s="307">
        <f t="shared" si="32"/>
        <v>93133136</v>
      </c>
      <c r="L89" s="307">
        <f t="shared" si="32"/>
        <v>0</v>
      </c>
      <c r="M89" s="307">
        <f t="shared" si="32"/>
        <v>112833976</v>
      </c>
    </row>
    <row r="90" spans="2:14" x14ac:dyDescent="0.25">
      <c r="B90" s="119" t="s">
        <v>98</v>
      </c>
      <c r="C90" s="120"/>
      <c r="D90" s="121"/>
      <c r="E90" s="308">
        <f>E84</f>
        <v>0</v>
      </c>
      <c r="F90" s="308">
        <f t="shared" ref="F90:M90" si="33">F84</f>
        <v>0</v>
      </c>
      <c r="G90" s="308">
        <f t="shared" si="33"/>
        <v>0</v>
      </c>
      <c r="H90" s="308">
        <f t="shared" si="33"/>
        <v>0</v>
      </c>
      <c r="I90" s="308">
        <f t="shared" si="33"/>
        <v>0</v>
      </c>
      <c r="J90" s="308">
        <f t="shared" si="33"/>
        <v>0</v>
      </c>
      <c r="K90" s="308">
        <f t="shared" si="33"/>
        <v>93133136</v>
      </c>
      <c r="L90" s="308">
        <f t="shared" si="33"/>
        <v>0</v>
      </c>
      <c r="M90" s="308">
        <f t="shared" si="33"/>
        <v>93133136</v>
      </c>
    </row>
    <row r="91" spans="2:14" x14ac:dyDescent="0.25">
      <c r="B91" s="119" t="s">
        <v>99</v>
      </c>
      <c r="C91" s="120"/>
      <c r="D91" s="121"/>
      <c r="E91" s="308">
        <f>E89-E90</f>
        <v>850000</v>
      </c>
      <c r="F91" s="308">
        <f t="shared" ref="F91:M91" si="34">F89-F90</f>
        <v>280840</v>
      </c>
      <c r="G91" s="308">
        <f t="shared" si="34"/>
        <v>3420000</v>
      </c>
      <c r="H91" s="308">
        <f t="shared" si="34"/>
        <v>14300000</v>
      </c>
      <c r="I91" s="308">
        <f t="shared" si="34"/>
        <v>850000</v>
      </c>
      <c r="J91" s="308">
        <f t="shared" si="34"/>
        <v>0</v>
      </c>
      <c r="K91" s="308">
        <f t="shared" si="34"/>
        <v>0</v>
      </c>
      <c r="L91" s="308">
        <f t="shared" si="34"/>
        <v>0</v>
      </c>
      <c r="M91" s="308">
        <f t="shared" si="34"/>
        <v>19700840</v>
      </c>
    </row>
    <row r="92" spans="2:14" ht="13.8" thickBot="1" x14ac:dyDescent="0.3">
      <c r="B92" s="137" t="s">
        <v>100</v>
      </c>
      <c r="C92" s="122"/>
      <c r="D92" s="123"/>
      <c r="E92" s="309">
        <v>0</v>
      </c>
      <c r="F92" s="309">
        <v>0</v>
      </c>
      <c r="G92" s="309">
        <v>0</v>
      </c>
      <c r="H92" s="309">
        <v>0</v>
      </c>
      <c r="I92" s="309">
        <v>0</v>
      </c>
      <c r="J92" s="309">
        <v>0</v>
      </c>
      <c r="K92" s="309">
        <v>0</v>
      </c>
      <c r="L92" s="309">
        <v>0</v>
      </c>
      <c r="M92" s="309">
        <v>0</v>
      </c>
    </row>
    <row r="93" spans="2:14" x14ac:dyDescent="0.25">
      <c r="B93" s="117" t="s">
        <v>39</v>
      </c>
      <c r="C93" s="118"/>
      <c r="D93" s="176" t="s">
        <v>641</v>
      </c>
      <c r="E93" s="308">
        <f>E85+E86</f>
        <v>850000</v>
      </c>
      <c r="F93" s="308">
        <f t="shared" ref="F93:L93" si="35">F85+F86</f>
        <v>280840</v>
      </c>
      <c r="G93" s="308">
        <f t="shared" si="35"/>
        <v>4868926</v>
      </c>
      <c r="H93" s="308">
        <f t="shared" si="35"/>
        <v>14300000</v>
      </c>
      <c r="I93" s="308">
        <f t="shared" si="35"/>
        <v>850000</v>
      </c>
      <c r="J93" s="308">
        <f t="shared" si="35"/>
        <v>0</v>
      </c>
      <c r="K93" s="308">
        <f t="shared" si="35"/>
        <v>127832669</v>
      </c>
      <c r="L93" s="308">
        <f t="shared" si="35"/>
        <v>0</v>
      </c>
      <c r="M93" s="308">
        <f>SUM(E93:L93)</f>
        <v>148982435</v>
      </c>
    </row>
    <row r="94" spans="2:14" x14ac:dyDescent="0.25">
      <c r="B94" s="119" t="s">
        <v>98</v>
      </c>
      <c r="C94" s="120"/>
      <c r="D94" s="121"/>
      <c r="E94" s="308">
        <f>E86</f>
        <v>0</v>
      </c>
      <c r="F94" s="308">
        <f t="shared" ref="F94:L94" si="36">F86</f>
        <v>0</v>
      </c>
      <c r="G94" s="308">
        <f t="shared" si="36"/>
        <v>0</v>
      </c>
      <c r="H94" s="308">
        <f t="shared" si="36"/>
        <v>0</v>
      </c>
      <c r="I94" s="308">
        <f t="shared" si="36"/>
        <v>0</v>
      </c>
      <c r="J94" s="308">
        <f t="shared" si="36"/>
        <v>0</v>
      </c>
      <c r="K94" s="308">
        <f t="shared" si="36"/>
        <v>127832669</v>
      </c>
      <c r="L94" s="308">
        <f t="shared" si="36"/>
        <v>0</v>
      </c>
      <c r="M94" s="308">
        <f t="shared" ref="M94:M96" si="37">SUM(E94:L94)</f>
        <v>127832669</v>
      </c>
    </row>
    <row r="95" spans="2:14" x14ac:dyDescent="0.25">
      <c r="B95" s="119" t="s">
        <v>99</v>
      </c>
      <c r="C95" s="120"/>
      <c r="D95" s="121"/>
      <c r="E95" s="308">
        <f>E85</f>
        <v>850000</v>
      </c>
      <c r="F95" s="308">
        <f t="shared" ref="F95:L95" si="38">F85</f>
        <v>280840</v>
      </c>
      <c r="G95" s="308">
        <f t="shared" si="38"/>
        <v>4868926</v>
      </c>
      <c r="H95" s="308">
        <f t="shared" si="38"/>
        <v>14300000</v>
      </c>
      <c r="I95" s="308">
        <f t="shared" si="38"/>
        <v>850000</v>
      </c>
      <c r="J95" s="308">
        <f t="shared" si="38"/>
        <v>0</v>
      </c>
      <c r="K95" s="308">
        <f t="shared" si="38"/>
        <v>0</v>
      </c>
      <c r="L95" s="308">
        <f t="shared" si="38"/>
        <v>0</v>
      </c>
      <c r="M95" s="308">
        <f t="shared" si="37"/>
        <v>21149766</v>
      </c>
    </row>
    <row r="96" spans="2:14" ht="13.8" thickBot="1" x14ac:dyDescent="0.3">
      <c r="B96" s="137" t="s">
        <v>100</v>
      </c>
      <c r="C96" s="122"/>
      <c r="D96" s="123"/>
      <c r="E96" s="308">
        <v>0</v>
      </c>
      <c r="F96" s="308">
        <v>0</v>
      </c>
      <c r="G96" s="308">
        <v>0</v>
      </c>
      <c r="H96" s="308">
        <v>0</v>
      </c>
      <c r="I96" s="308">
        <v>0</v>
      </c>
      <c r="J96" s="308">
        <v>0</v>
      </c>
      <c r="K96" s="308">
        <v>0</v>
      </c>
      <c r="L96" s="308">
        <v>0</v>
      </c>
      <c r="M96" s="308">
        <f t="shared" si="37"/>
        <v>0</v>
      </c>
    </row>
    <row r="97" spans="2:16" x14ac:dyDescent="0.25">
      <c r="B97" s="117" t="s">
        <v>39</v>
      </c>
      <c r="C97" s="118"/>
      <c r="D97" s="176" t="s">
        <v>689</v>
      </c>
      <c r="E97" s="307">
        <f>E87+E88</f>
        <v>576885</v>
      </c>
      <c r="F97" s="307">
        <f t="shared" ref="F97:M97" si="39">F87+F88</f>
        <v>191251</v>
      </c>
      <c r="G97" s="307">
        <f t="shared" si="39"/>
        <v>4552021</v>
      </c>
      <c r="H97" s="307">
        <f t="shared" si="39"/>
        <v>11374362</v>
      </c>
      <c r="I97" s="307">
        <f t="shared" si="39"/>
        <v>850000</v>
      </c>
      <c r="J97" s="307">
        <f t="shared" si="39"/>
        <v>0</v>
      </c>
      <c r="K97" s="307">
        <f t="shared" si="39"/>
        <v>0</v>
      </c>
      <c r="L97" s="307">
        <f t="shared" si="39"/>
        <v>0</v>
      </c>
      <c r="M97" s="307">
        <f t="shared" si="39"/>
        <v>17544519</v>
      </c>
    </row>
    <row r="98" spans="2:16" x14ac:dyDescent="0.25">
      <c r="B98" s="119" t="s">
        <v>98</v>
      </c>
      <c r="C98" s="120"/>
      <c r="D98" s="121"/>
      <c r="E98" s="308">
        <f>E88</f>
        <v>0</v>
      </c>
      <c r="F98" s="308">
        <f t="shared" ref="F98:M98" si="40">F88</f>
        <v>0</v>
      </c>
      <c r="G98" s="308">
        <f t="shared" si="40"/>
        <v>0</v>
      </c>
      <c r="H98" s="308">
        <f t="shared" si="40"/>
        <v>0</v>
      </c>
      <c r="I98" s="308">
        <f t="shared" si="40"/>
        <v>0</v>
      </c>
      <c r="J98" s="308">
        <f t="shared" si="40"/>
        <v>0</v>
      </c>
      <c r="K98" s="308">
        <f t="shared" si="40"/>
        <v>0</v>
      </c>
      <c r="L98" s="308">
        <f t="shared" si="40"/>
        <v>0</v>
      </c>
      <c r="M98" s="308">
        <f t="shared" si="40"/>
        <v>0</v>
      </c>
    </row>
    <row r="99" spans="2:16" x14ac:dyDescent="0.25">
      <c r="B99" s="119" t="s">
        <v>99</v>
      </c>
      <c r="C99" s="120"/>
      <c r="D99" s="121"/>
      <c r="E99" s="308">
        <f>E87</f>
        <v>576885</v>
      </c>
      <c r="F99" s="308">
        <f t="shared" ref="F99:M99" si="41">F87</f>
        <v>191251</v>
      </c>
      <c r="G99" s="308">
        <f t="shared" si="41"/>
        <v>4552021</v>
      </c>
      <c r="H99" s="308">
        <f t="shared" si="41"/>
        <v>11374362</v>
      </c>
      <c r="I99" s="308">
        <f t="shared" si="41"/>
        <v>850000</v>
      </c>
      <c r="J99" s="308">
        <f t="shared" si="41"/>
        <v>0</v>
      </c>
      <c r="K99" s="308">
        <f t="shared" si="41"/>
        <v>0</v>
      </c>
      <c r="L99" s="308">
        <f t="shared" si="41"/>
        <v>0</v>
      </c>
      <c r="M99" s="308">
        <f t="shared" si="41"/>
        <v>17544519</v>
      </c>
    </row>
    <row r="100" spans="2:16" ht="13.8" thickBot="1" x14ac:dyDescent="0.3">
      <c r="B100" s="137" t="s">
        <v>100</v>
      </c>
      <c r="C100" s="122"/>
      <c r="D100" s="123"/>
      <c r="E100" s="308">
        <v>0</v>
      </c>
      <c r="F100" s="308">
        <v>0</v>
      </c>
      <c r="G100" s="308">
        <v>0</v>
      </c>
      <c r="H100" s="308">
        <v>0</v>
      </c>
      <c r="I100" s="308">
        <v>0</v>
      </c>
      <c r="J100" s="308">
        <v>0</v>
      </c>
      <c r="K100" s="308">
        <v>0</v>
      </c>
      <c r="L100" s="308">
        <v>0</v>
      </c>
      <c r="M100" s="308">
        <v>0</v>
      </c>
    </row>
    <row r="101" spans="2:16" x14ac:dyDescent="0.25">
      <c r="B101" s="117" t="s">
        <v>273</v>
      </c>
      <c r="C101" s="118"/>
      <c r="D101" s="176" t="s">
        <v>50</v>
      </c>
      <c r="E101" s="307">
        <f>E89+E71</f>
        <v>1213975000</v>
      </c>
      <c r="F101" s="307">
        <f t="shared" ref="F101:M101" si="42">F89+F71</f>
        <v>176475640</v>
      </c>
      <c r="G101" s="307">
        <f t="shared" si="42"/>
        <v>698808457</v>
      </c>
      <c r="H101" s="307">
        <f t="shared" si="42"/>
        <v>14300000</v>
      </c>
      <c r="I101" s="307">
        <f t="shared" si="42"/>
        <v>850000</v>
      </c>
      <c r="J101" s="307">
        <f t="shared" si="42"/>
        <v>1100000</v>
      </c>
      <c r="K101" s="307">
        <f t="shared" si="42"/>
        <v>93133136</v>
      </c>
      <c r="L101" s="307">
        <f t="shared" si="42"/>
        <v>0</v>
      </c>
      <c r="M101" s="307">
        <f t="shared" si="42"/>
        <v>2198642233</v>
      </c>
      <c r="P101" s="217">
        <f>M101+'Felhalmozási kiadások'!I24</f>
        <v>2362663087</v>
      </c>
    </row>
    <row r="102" spans="2:16" x14ac:dyDescent="0.25">
      <c r="B102" s="119" t="s">
        <v>98</v>
      </c>
      <c r="C102" s="120"/>
      <c r="D102" s="121"/>
      <c r="E102" s="308">
        <f>E90+E72</f>
        <v>1213125000</v>
      </c>
      <c r="F102" s="308">
        <f t="shared" ref="F102:M102" si="43">F90+F72</f>
        <v>176194800</v>
      </c>
      <c r="G102" s="308">
        <f t="shared" si="43"/>
        <v>695388457</v>
      </c>
      <c r="H102" s="308">
        <f t="shared" si="43"/>
        <v>0</v>
      </c>
      <c r="I102" s="308">
        <f t="shared" si="43"/>
        <v>0</v>
      </c>
      <c r="J102" s="308">
        <f t="shared" si="43"/>
        <v>1100000</v>
      </c>
      <c r="K102" s="308">
        <f t="shared" si="43"/>
        <v>93133136</v>
      </c>
      <c r="L102" s="308">
        <f t="shared" si="43"/>
        <v>0</v>
      </c>
      <c r="M102" s="308">
        <f t="shared" si="43"/>
        <v>2178941393</v>
      </c>
    </row>
    <row r="103" spans="2:16" x14ac:dyDescent="0.25">
      <c r="B103" s="119" t="s">
        <v>99</v>
      </c>
      <c r="C103" s="120"/>
      <c r="D103" s="121"/>
      <c r="E103" s="308">
        <f>E101-E102</f>
        <v>850000</v>
      </c>
      <c r="F103" s="308">
        <f t="shared" ref="F103:M103" si="44">F101-F102</f>
        <v>280840</v>
      </c>
      <c r="G103" s="308">
        <f t="shared" si="44"/>
        <v>3420000</v>
      </c>
      <c r="H103" s="308">
        <f t="shared" si="44"/>
        <v>14300000</v>
      </c>
      <c r="I103" s="308">
        <f t="shared" si="44"/>
        <v>850000</v>
      </c>
      <c r="J103" s="308">
        <f t="shared" si="44"/>
        <v>0</v>
      </c>
      <c r="K103" s="308">
        <f t="shared" si="44"/>
        <v>0</v>
      </c>
      <c r="L103" s="308">
        <f t="shared" si="44"/>
        <v>0</v>
      </c>
      <c r="M103" s="308">
        <f t="shared" si="44"/>
        <v>19700840</v>
      </c>
    </row>
    <row r="104" spans="2:16" ht="13.8" thickBot="1" x14ac:dyDescent="0.3">
      <c r="B104" s="137" t="s">
        <v>100</v>
      </c>
      <c r="C104" s="122"/>
      <c r="D104" s="123"/>
      <c r="E104" s="309">
        <v>0</v>
      </c>
      <c r="F104" s="309">
        <v>0</v>
      </c>
      <c r="G104" s="309">
        <v>0</v>
      </c>
      <c r="H104" s="309">
        <v>0</v>
      </c>
      <c r="I104" s="309">
        <v>0</v>
      </c>
      <c r="J104" s="309">
        <v>0</v>
      </c>
      <c r="K104" s="309">
        <v>0</v>
      </c>
      <c r="L104" s="309">
        <v>0</v>
      </c>
      <c r="M104" s="309">
        <v>0</v>
      </c>
    </row>
    <row r="105" spans="2:16" x14ac:dyDescent="0.25">
      <c r="B105" s="117" t="s">
        <v>273</v>
      </c>
      <c r="C105" s="118"/>
      <c r="D105" s="176" t="s">
        <v>641</v>
      </c>
      <c r="E105" s="307">
        <f>E93+E74</f>
        <v>1315894713</v>
      </c>
      <c r="F105" s="307">
        <f t="shared" ref="F105:M105" si="45">F93+F74</f>
        <v>191225028</v>
      </c>
      <c r="G105" s="307">
        <f t="shared" si="45"/>
        <v>691157895</v>
      </c>
      <c r="H105" s="307">
        <f t="shared" si="45"/>
        <v>22078838</v>
      </c>
      <c r="I105" s="307">
        <f t="shared" si="45"/>
        <v>850000</v>
      </c>
      <c r="J105" s="307">
        <f t="shared" si="45"/>
        <v>1300000</v>
      </c>
      <c r="K105" s="307">
        <f t="shared" si="45"/>
        <v>127832669</v>
      </c>
      <c r="L105" s="307">
        <f t="shared" si="45"/>
        <v>0</v>
      </c>
      <c r="M105" s="307">
        <f t="shared" si="45"/>
        <v>2350339143</v>
      </c>
    </row>
    <row r="106" spans="2:16" x14ac:dyDescent="0.25">
      <c r="B106" s="119" t="s">
        <v>98</v>
      </c>
      <c r="C106" s="120"/>
      <c r="D106" s="121"/>
      <c r="E106" s="308">
        <f>E94+E75</f>
        <v>1315044713</v>
      </c>
      <c r="F106" s="308">
        <f t="shared" ref="F106:M106" si="46">F94+F75</f>
        <v>190944188</v>
      </c>
      <c r="G106" s="308">
        <f t="shared" si="46"/>
        <v>686288969</v>
      </c>
      <c r="H106" s="308">
        <f t="shared" si="46"/>
        <v>7778838</v>
      </c>
      <c r="I106" s="308">
        <f t="shared" si="46"/>
        <v>0</v>
      </c>
      <c r="J106" s="308">
        <f t="shared" si="46"/>
        <v>1300000</v>
      </c>
      <c r="K106" s="308">
        <f t="shared" si="46"/>
        <v>127832669</v>
      </c>
      <c r="L106" s="308">
        <f t="shared" si="46"/>
        <v>0</v>
      </c>
      <c r="M106" s="308">
        <f t="shared" si="46"/>
        <v>2329189377</v>
      </c>
    </row>
    <row r="107" spans="2:16" x14ac:dyDescent="0.25">
      <c r="B107" s="119" t="s">
        <v>99</v>
      </c>
      <c r="C107" s="120"/>
      <c r="D107" s="121"/>
      <c r="E107" s="308">
        <f>E95+E76</f>
        <v>850000</v>
      </c>
      <c r="F107" s="308">
        <f t="shared" ref="F107:M107" si="47">F95+F76</f>
        <v>280840</v>
      </c>
      <c r="G107" s="308">
        <f t="shared" si="47"/>
        <v>4868926</v>
      </c>
      <c r="H107" s="308">
        <f t="shared" si="47"/>
        <v>14300000</v>
      </c>
      <c r="I107" s="308">
        <f t="shared" si="47"/>
        <v>850000</v>
      </c>
      <c r="J107" s="308">
        <f t="shared" si="47"/>
        <v>0</v>
      </c>
      <c r="K107" s="308">
        <f t="shared" si="47"/>
        <v>0</v>
      </c>
      <c r="L107" s="308">
        <f t="shared" si="47"/>
        <v>0</v>
      </c>
      <c r="M107" s="308">
        <f t="shared" si="47"/>
        <v>21149766</v>
      </c>
    </row>
    <row r="108" spans="2:16" ht="13.8" thickBot="1" x14ac:dyDescent="0.3">
      <c r="B108" s="137" t="s">
        <v>100</v>
      </c>
      <c r="C108" s="122"/>
      <c r="D108" s="123"/>
      <c r="E108" s="309">
        <v>0</v>
      </c>
      <c r="F108" s="309">
        <v>0</v>
      </c>
      <c r="G108" s="309">
        <v>0</v>
      </c>
      <c r="H108" s="309">
        <v>0</v>
      </c>
      <c r="I108" s="309">
        <v>0</v>
      </c>
      <c r="J108" s="309">
        <v>0</v>
      </c>
      <c r="K108" s="309">
        <v>0</v>
      </c>
      <c r="L108" s="309">
        <v>0</v>
      </c>
      <c r="M108" s="309">
        <v>0</v>
      </c>
    </row>
    <row r="109" spans="2:16" x14ac:dyDescent="0.25">
      <c r="B109" s="117" t="s">
        <v>273</v>
      </c>
      <c r="C109" s="118"/>
      <c r="D109" s="176" t="s">
        <v>689</v>
      </c>
      <c r="E109" s="307">
        <f>E97+E77</f>
        <v>1198820669</v>
      </c>
      <c r="F109" s="307">
        <f t="shared" ref="F109:M109" si="48">F97+F77</f>
        <v>164105183</v>
      </c>
      <c r="G109" s="307">
        <f t="shared" si="48"/>
        <v>566884558</v>
      </c>
      <c r="H109" s="307">
        <f t="shared" si="48"/>
        <v>19153200</v>
      </c>
      <c r="I109" s="307">
        <f t="shared" si="48"/>
        <v>850000</v>
      </c>
      <c r="J109" s="307">
        <f t="shared" si="48"/>
        <v>1187195</v>
      </c>
      <c r="K109" s="307">
        <f t="shared" si="48"/>
        <v>0</v>
      </c>
      <c r="L109" s="307">
        <f t="shared" si="48"/>
        <v>0</v>
      </c>
      <c r="M109" s="307">
        <f t="shared" si="48"/>
        <v>1951000805</v>
      </c>
    </row>
    <row r="110" spans="2:16" x14ac:dyDescent="0.25">
      <c r="B110" s="119" t="s">
        <v>98</v>
      </c>
      <c r="C110" s="120"/>
      <c r="D110" s="121"/>
      <c r="E110" s="308">
        <f>E98+E78</f>
        <v>1198243784</v>
      </c>
      <c r="F110" s="308">
        <f t="shared" ref="F110:M110" si="49">F98+F78</f>
        <v>163913932</v>
      </c>
      <c r="G110" s="308">
        <f t="shared" si="49"/>
        <v>562332537</v>
      </c>
      <c r="H110" s="308">
        <f t="shared" si="49"/>
        <v>7778838</v>
      </c>
      <c r="I110" s="308">
        <f t="shared" si="49"/>
        <v>0</v>
      </c>
      <c r="J110" s="308">
        <f t="shared" si="49"/>
        <v>1187195</v>
      </c>
      <c r="K110" s="308">
        <f t="shared" si="49"/>
        <v>0</v>
      </c>
      <c r="L110" s="308">
        <f t="shared" si="49"/>
        <v>0</v>
      </c>
      <c r="M110" s="308">
        <f t="shared" si="49"/>
        <v>1933456286</v>
      </c>
    </row>
    <row r="111" spans="2:16" x14ac:dyDescent="0.25">
      <c r="B111" s="119" t="s">
        <v>99</v>
      </c>
      <c r="C111" s="120"/>
      <c r="D111" s="121"/>
      <c r="E111" s="308">
        <f>E99+E79</f>
        <v>576885</v>
      </c>
      <c r="F111" s="308">
        <f t="shared" ref="F111:M111" si="50">F99+F79</f>
        <v>191251</v>
      </c>
      <c r="G111" s="308">
        <f t="shared" si="50"/>
        <v>4552021</v>
      </c>
      <c r="H111" s="308">
        <f t="shared" si="50"/>
        <v>11374362</v>
      </c>
      <c r="I111" s="308">
        <f t="shared" si="50"/>
        <v>850000</v>
      </c>
      <c r="J111" s="308">
        <f t="shared" si="50"/>
        <v>0</v>
      </c>
      <c r="K111" s="308">
        <f t="shared" si="50"/>
        <v>0</v>
      </c>
      <c r="L111" s="308">
        <f t="shared" si="50"/>
        <v>0</v>
      </c>
      <c r="M111" s="308">
        <f t="shared" si="50"/>
        <v>17544519</v>
      </c>
    </row>
    <row r="112" spans="2:16" ht="13.8" thickBot="1" x14ac:dyDescent="0.3">
      <c r="B112" s="137" t="s">
        <v>100</v>
      </c>
      <c r="C112" s="122"/>
      <c r="D112" s="123"/>
      <c r="E112" s="309">
        <v>0</v>
      </c>
      <c r="F112" s="309">
        <v>0</v>
      </c>
      <c r="G112" s="309">
        <v>0</v>
      </c>
      <c r="H112" s="309">
        <v>0</v>
      </c>
      <c r="I112" s="309">
        <v>0</v>
      </c>
      <c r="J112" s="309">
        <v>0</v>
      </c>
      <c r="K112" s="309">
        <v>0</v>
      </c>
      <c r="L112" s="309">
        <v>0</v>
      </c>
      <c r="M112" s="309">
        <v>0</v>
      </c>
    </row>
    <row r="113" spans="1:15" s="8" customFormat="1" x14ac:dyDescent="0.25">
      <c r="A113" s="50"/>
      <c r="N113" s="50"/>
      <c r="O113" s="50"/>
    </row>
    <row r="114" spans="1:15" s="8" customFormat="1" x14ac:dyDescent="0.25">
      <c r="A114" s="50"/>
      <c r="E114" s="62"/>
      <c r="F114" s="62"/>
      <c r="G114" s="62"/>
      <c r="H114" s="62"/>
      <c r="I114" s="62"/>
      <c r="J114" s="62"/>
      <c r="K114" s="62"/>
      <c r="L114" s="62"/>
      <c r="M114" s="62"/>
      <c r="N114" s="50"/>
      <c r="O114" s="50"/>
    </row>
    <row r="115" spans="1:15" s="8" customFormat="1" x14ac:dyDescent="0.25">
      <c r="A115" s="50"/>
      <c r="N115" s="50"/>
      <c r="O115" s="50"/>
    </row>
    <row r="116" spans="1:15" s="8" customFormat="1" x14ac:dyDescent="0.25">
      <c r="A116" s="50"/>
      <c r="N116" s="50"/>
      <c r="O116" s="50"/>
    </row>
    <row r="117" spans="1:15" s="8" customFormat="1" x14ac:dyDescent="0.25">
      <c r="A117" s="50"/>
      <c r="N117" s="50"/>
      <c r="O117" s="50"/>
    </row>
    <row r="118" spans="1:15" s="8" customFormat="1" x14ac:dyDescent="0.25">
      <c r="A118" s="50"/>
      <c r="N118" s="50"/>
      <c r="O118" s="50"/>
    </row>
    <row r="119" spans="1:15" s="8" customFormat="1" x14ac:dyDescent="0.25">
      <c r="A119" s="50"/>
      <c r="N119" s="50"/>
      <c r="O119" s="50"/>
    </row>
    <row r="120" spans="1:15" s="8" customFormat="1" x14ac:dyDescent="0.25">
      <c r="A120" s="50"/>
      <c r="N120" s="50"/>
      <c r="O120" s="50"/>
    </row>
    <row r="121" spans="1:15" s="8" customFormat="1" x14ac:dyDescent="0.25">
      <c r="A121" s="50"/>
      <c r="N121" s="50"/>
      <c r="O121" s="50"/>
    </row>
    <row r="122" spans="1:15" s="8" customFormat="1" x14ac:dyDescent="0.25">
      <c r="A122" s="50"/>
      <c r="N122" s="50"/>
      <c r="O122" s="50"/>
    </row>
    <row r="123" spans="1:15" s="8" customFormat="1" x14ac:dyDescent="0.25">
      <c r="A123" s="50"/>
      <c r="N123" s="50"/>
      <c r="O123" s="50"/>
    </row>
    <row r="124" spans="1:15" s="8" customFormat="1" x14ac:dyDescent="0.25">
      <c r="A124" s="50"/>
      <c r="N124" s="50"/>
      <c r="O124" s="50"/>
    </row>
    <row r="125" spans="1:15" s="8" customFormat="1" x14ac:dyDescent="0.25">
      <c r="A125" s="50"/>
      <c r="N125" s="50"/>
      <c r="O125" s="50"/>
    </row>
    <row r="126" spans="1:15" s="8" customFormat="1" x14ac:dyDescent="0.25">
      <c r="A126" s="50"/>
      <c r="N126" s="50"/>
      <c r="O126" s="50"/>
    </row>
    <row r="127" spans="1:15" s="8" customFormat="1" x14ac:dyDescent="0.25">
      <c r="A127" s="50"/>
      <c r="N127" s="50"/>
      <c r="O127" s="50"/>
    </row>
    <row r="128" spans="1:15" s="8" customFormat="1" x14ac:dyDescent="0.25">
      <c r="A128" s="50"/>
      <c r="N128" s="50"/>
      <c r="O128" s="50"/>
    </row>
    <row r="129" spans="1:15" s="8" customFormat="1" x14ac:dyDescent="0.25">
      <c r="A129" s="50"/>
      <c r="N129" s="50"/>
      <c r="O129" s="50"/>
    </row>
    <row r="130" spans="1:15" s="8" customFormat="1" x14ac:dyDescent="0.25">
      <c r="A130" s="50"/>
      <c r="N130" s="50"/>
      <c r="O130" s="50"/>
    </row>
    <row r="131" spans="1:15" s="8" customFormat="1" x14ac:dyDescent="0.25">
      <c r="A131" s="50"/>
      <c r="N131" s="50"/>
      <c r="O131" s="50"/>
    </row>
    <row r="132" spans="1:15" s="8" customFormat="1" x14ac:dyDescent="0.25">
      <c r="A132" s="50"/>
      <c r="N132" s="50"/>
      <c r="O132" s="50"/>
    </row>
    <row r="133" spans="1:15" s="8" customFormat="1" x14ac:dyDescent="0.25">
      <c r="A133" s="50"/>
      <c r="N133" s="50"/>
      <c r="O133" s="50"/>
    </row>
    <row r="134" spans="1:15" s="8" customFormat="1" x14ac:dyDescent="0.25">
      <c r="A134" s="50"/>
      <c r="N134" s="50"/>
      <c r="O134" s="50"/>
    </row>
    <row r="135" spans="1:15" s="8" customFormat="1" x14ac:dyDescent="0.25">
      <c r="A135" s="50"/>
      <c r="N135" s="50"/>
      <c r="O135" s="50"/>
    </row>
    <row r="136" spans="1:15" s="8" customFormat="1" x14ac:dyDescent="0.25">
      <c r="A136" s="50"/>
      <c r="N136" s="50"/>
      <c r="O136" s="50"/>
    </row>
    <row r="137" spans="1:15" s="8" customFormat="1" x14ac:dyDescent="0.25">
      <c r="A137" s="50"/>
      <c r="N137" s="50"/>
      <c r="O137" s="50"/>
    </row>
    <row r="138" spans="1:15" s="8" customFormat="1" x14ac:dyDescent="0.25">
      <c r="A138" s="50"/>
      <c r="N138" s="50"/>
      <c r="O138" s="50"/>
    </row>
    <row r="139" spans="1:15" s="8" customFormat="1" x14ac:dyDescent="0.25">
      <c r="A139" s="50"/>
      <c r="N139" s="50"/>
      <c r="O139" s="50"/>
    </row>
  </sheetData>
  <mergeCells count="64">
    <mergeCell ref="B87:D88"/>
    <mergeCell ref="C10:D11"/>
    <mergeCell ref="C16:D17"/>
    <mergeCell ref="B24:D24"/>
    <mergeCell ref="B35:D36"/>
    <mergeCell ref="B37:D38"/>
    <mergeCell ref="B39:D40"/>
    <mergeCell ref="C59:D60"/>
    <mergeCell ref="C65:D66"/>
    <mergeCell ref="B80:D82"/>
    <mergeCell ref="B83:D84"/>
    <mergeCell ref="B85:D86"/>
    <mergeCell ref="E3:E5"/>
    <mergeCell ref="M3:M5"/>
    <mergeCell ref="I3:I5"/>
    <mergeCell ref="J32:J34"/>
    <mergeCell ref="K32:K34"/>
    <mergeCell ref="L32:L34"/>
    <mergeCell ref="M32:M34"/>
    <mergeCell ref="K3:K5"/>
    <mergeCell ref="L3:L5"/>
    <mergeCell ref="J3:J5"/>
    <mergeCell ref="I32:I34"/>
    <mergeCell ref="F3:F5"/>
    <mergeCell ref="G3:G5"/>
    <mergeCell ref="H3:H5"/>
    <mergeCell ref="E32:E34"/>
    <mergeCell ref="G32:G34"/>
    <mergeCell ref="B3:D5"/>
    <mergeCell ref="B32:D34"/>
    <mergeCell ref="C6:D7"/>
    <mergeCell ref="C12:D13"/>
    <mergeCell ref="C8:D9"/>
    <mergeCell ref="C14:D15"/>
    <mergeCell ref="B18:D18"/>
    <mergeCell ref="B21:D21"/>
    <mergeCell ref="H32:H34"/>
    <mergeCell ref="F32:F34"/>
    <mergeCell ref="B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E80:E82"/>
    <mergeCell ref="F80:F82"/>
    <mergeCell ref="C61:D62"/>
    <mergeCell ref="C67:D68"/>
    <mergeCell ref="B71:D71"/>
    <mergeCell ref="B74:D74"/>
    <mergeCell ref="C63:D64"/>
    <mergeCell ref="C69:D70"/>
    <mergeCell ref="B77:D77"/>
    <mergeCell ref="L80:L82"/>
    <mergeCell ref="M80:M82"/>
    <mergeCell ref="G80:G82"/>
    <mergeCell ref="H80:H82"/>
    <mergeCell ref="I80:I82"/>
    <mergeCell ref="J80:J82"/>
    <mergeCell ref="K80:K82"/>
  </mergeCells>
  <pageMargins left="0.19685039370078741" right="0.23622047244094491" top="0.47244094488188981" bottom="0.55118110236220474" header="0.51181102362204722" footer="0.51181102362204722"/>
  <pageSetup paperSize="8" fitToWidth="0" orientation="landscape" r:id="rId1"/>
  <headerFooter alignWithMargins="0"/>
  <rowBreaks count="1" manualBreakCount="1">
    <brk id="52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4"/>
  <sheetViews>
    <sheetView zoomScaleNormal="100" workbookViewId="0">
      <selection activeCell="E32" sqref="E32:I32"/>
    </sheetView>
  </sheetViews>
  <sheetFormatPr defaultRowHeight="13.2" x14ac:dyDescent="0.25"/>
  <cols>
    <col min="1" max="1" width="2.6640625" customWidth="1"/>
    <col min="2" max="2" width="7.44140625" style="1" customWidth="1"/>
    <col min="3" max="3" width="20.6640625" style="1" customWidth="1"/>
    <col min="4" max="4" width="11.44140625" style="1" customWidth="1"/>
    <col min="5" max="5" width="17.88671875" style="1" customWidth="1"/>
    <col min="6" max="6" width="15.33203125" style="1" customWidth="1"/>
    <col min="7" max="7" width="12.6640625" style="1" customWidth="1"/>
    <col min="8" max="8" width="17.44140625" style="1" customWidth="1"/>
    <col min="9" max="9" width="16.5546875" style="1" customWidth="1"/>
    <col min="11" max="11" width="17.5546875" style="1" customWidth="1"/>
    <col min="12" max="12" width="14.6640625" style="1" customWidth="1"/>
    <col min="13" max="13" width="17.5546875" style="1" bestFit="1" customWidth="1"/>
    <col min="14" max="14" width="11.109375" style="1" bestFit="1" customWidth="1"/>
    <col min="15" max="15" width="13.33203125" style="1" customWidth="1"/>
    <col min="16" max="16" width="10" style="1" bestFit="1" customWidth="1"/>
    <col min="17" max="17" width="9.109375" style="1"/>
    <col min="18" max="18" width="10" style="1" bestFit="1" customWidth="1"/>
    <col min="19" max="19" width="9.109375" style="1"/>
  </cols>
  <sheetData>
    <row r="1" spans="1:25" x14ac:dyDescent="0.25">
      <c r="A1" s="8"/>
      <c r="B1" s="2" t="s">
        <v>177</v>
      </c>
      <c r="C1" s="50"/>
      <c r="D1" s="50"/>
      <c r="E1" s="50"/>
      <c r="F1" s="50"/>
      <c r="G1" s="50"/>
      <c r="H1" s="50"/>
      <c r="I1" s="50"/>
      <c r="J1" s="8"/>
      <c r="K1" s="50"/>
      <c r="L1" s="50"/>
      <c r="M1" s="50"/>
      <c r="N1" s="50"/>
      <c r="O1" s="50"/>
      <c r="P1" s="50"/>
      <c r="Q1" s="50"/>
      <c r="R1" s="50"/>
    </row>
    <row r="2" spans="1:25" ht="16.2" thickBot="1" x14ac:dyDescent="0.35">
      <c r="A2" s="8"/>
      <c r="B2" s="50"/>
      <c r="C2" s="50"/>
      <c r="D2" s="50"/>
      <c r="E2" s="50"/>
      <c r="F2" s="26" t="s">
        <v>581</v>
      </c>
      <c r="G2" s="50"/>
      <c r="H2" s="797" t="s">
        <v>204</v>
      </c>
      <c r="I2" s="797"/>
      <c r="J2" s="8"/>
      <c r="K2" s="50"/>
      <c r="L2" s="50"/>
      <c r="M2" s="50"/>
      <c r="N2" s="50"/>
      <c r="O2" s="50"/>
      <c r="P2" s="50"/>
      <c r="Q2" s="50"/>
      <c r="R2" s="50"/>
    </row>
    <row r="3" spans="1:25" x14ac:dyDescent="0.25">
      <c r="A3" s="8"/>
      <c r="B3" s="798" t="s">
        <v>139</v>
      </c>
      <c r="C3" s="798"/>
      <c r="D3" s="798"/>
      <c r="E3" s="800" t="s">
        <v>140</v>
      </c>
      <c r="F3" s="798" t="s">
        <v>141</v>
      </c>
      <c r="G3" s="798" t="s">
        <v>142</v>
      </c>
      <c r="H3" s="798" t="s">
        <v>187</v>
      </c>
      <c r="I3" s="798" t="s">
        <v>38</v>
      </c>
      <c r="J3" s="8"/>
      <c r="K3" s="50"/>
      <c r="L3" s="50"/>
      <c r="M3" s="50"/>
      <c r="N3" s="50"/>
      <c r="O3" s="50"/>
      <c r="P3" s="50"/>
      <c r="Q3" s="50"/>
      <c r="R3" s="50"/>
    </row>
    <row r="4" spans="1:25" x14ac:dyDescent="0.25">
      <c r="A4" s="8"/>
      <c r="B4" s="799"/>
      <c r="C4" s="799"/>
      <c r="D4" s="799"/>
      <c r="E4" s="801"/>
      <c r="F4" s="799"/>
      <c r="G4" s="799"/>
      <c r="H4" s="799"/>
      <c r="I4" s="799"/>
      <c r="J4" s="8"/>
      <c r="K4" s="50"/>
      <c r="L4" s="50"/>
      <c r="M4" s="50"/>
      <c r="N4" s="50"/>
      <c r="O4" s="50"/>
      <c r="P4" s="50"/>
      <c r="Q4" s="50"/>
      <c r="R4" s="50"/>
      <c r="T4" s="1"/>
      <c r="U4" s="1"/>
      <c r="V4" s="1"/>
      <c r="W4" s="1"/>
      <c r="X4" s="1"/>
      <c r="Y4" s="1"/>
    </row>
    <row r="5" spans="1:25" ht="51.75" customHeight="1" thickBot="1" x14ac:dyDescent="0.3">
      <c r="A5" s="8"/>
      <c r="B5" s="799"/>
      <c r="C5" s="799"/>
      <c r="D5" s="799"/>
      <c r="E5" s="801"/>
      <c r="F5" s="799"/>
      <c r="G5" s="799"/>
      <c r="H5" s="799"/>
      <c r="I5" s="799"/>
      <c r="J5" s="8"/>
      <c r="K5" s="50"/>
      <c r="L5" s="50"/>
      <c r="M5" s="50"/>
      <c r="N5" s="50"/>
      <c r="O5" s="50"/>
      <c r="P5" s="50"/>
      <c r="Q5" s="50"/>
      <c r="R5" s="50"/>
      <c r="T5" s="1"/>
      <c r="U5" s="1"/>
      <c r="V5" s="1"/>
      <c r="W5" s="1"/>
      <c r="X5" s="1"/>
      <c r="Y5" s="1"/>
    </row>
    <row r="6" spans="1:25" ht="45" customHeight="1" x14ac:dyDescent="0.25">
      <c r="A6" s="8"/>
      <c r="B6" s="784" t="s">
        <v>582</v>
      </c>
      <c r="C6" s="785"/>
      <c r="D6" s="786"/>
      <c r="E6" s="178"/>
      <c r="F6" s="177"/>
      <c r="G6" s="177"/>
      <c r="H6" s="170"/>
      <c r="I6" s="177"/>
      <c r="J6" s="8"/>
      <c r="K6" s="50"/>
      <c r="L6" s="180"/>
      <c r="M6" s="50"/>
      <c r="N6" s="50"/>
      <c r="O6" s="50"/>
      <c r="P6" s="50"/>
      <c r="Q6" s="50"/>
      <c r="R6" s="50"/>
      <c r="T6" s="1"/>
      <c r="U6" s="1"/>
      <c r="V6" s="1"/>
      <c r="W6" s="1"/>
      <c r="X6" s="1"/>
      <c r="Y6" s="1"/>
    </row>
    <row r="7" spans="1:25" ht="13.5" customHeight="1" thickBot="1" x14ac:dyDescent="0.3">
      <c r="A7" s="8"/>
      <c r="B7" s="793" t="s">
        <v>296</v>
      </c>
      <c r="C7" s="794"/>
      <c r="D7" s="422" t="s">
        <v>50</v>
      </c>
      <c r="E7" s="189">
        <v>10795000</v>
      </c>
      <c r="F7" s="187">
        <v>1120855</v>
      </c>
      <c r="G7" s="424">
        <v>0</v>
      </c>
      <c r="H7" s="171">
        <v>0</v>
      </c>
      <c r="I7" s="187">
        <f>SUM(E7:H7)</f>
        <v>11915855</v>
      </c>
      <c r="J7" s="8" t="s">
        <v>94</v>
      </c>
      <c r="K7" s="50"/>
      <c r="L7" s="50"/>
      <c r="M7" s="210"/>
      <c r="N7" s="50"/>
      <c r="O7" s="50"/>
      <c r="P7" s="50"/>
      <c r="Q7" s="50"/>
      <c r="R7" s="50"/>
      <c r="T7" s="1"/>
      <c r="U7" s="1"/>
      <c r="V7" s="1"/>
      <c r="W7" s="1"/>
      <c r="X7" s="1"/>
      <c r="Y7" s="1"/>
    </row>
    <row r="8" spans="1:25" ht="43.2" customHeight="1" x14ac:dyDescent="0.25">
      <c r="A8" s="8"/>
      <c r="B8" s="784" t="s">
        <v>582</v>
      </c>
      <c r="C8" s="785"/>
      <c r="D8" s="786"/>
      <c r="E8" s="417"/>
      <c r="F8" s="418"/>
      <c r="G8" s="425"/>
      <c r="H8" s="417"/>
      <c r="I8" s="423"/>
      <c r="J8" s="8"/>
      <c r="K8" s="50"/>
      <c r="L8" s="50"/>
      <c r="M8" s="210"/>
      <c r="N8" s="50"/>
      <c r="O8" s="50"/>
      <c r="P8" s="50"/>
      <c r="Q8" s="50"/>
      <c r="R8" s="50"/>
      <c r="T8" s="1"/>
      <c r="U8" s="1"/>
      <c r="V8" s="1"/>
      <c r="W8" s="1"/>
      <c r="X8" s="1"/>
      <c r="Y8" s="1"/>
    </row>
    <row r="9" spans="1:25" ht="13.2" customHeight="1" thickBot="1" x14ac:dyDescent="0.3">
      <c r="A9" s="8"/>
      <c r="B9" s="793" t="s">
        <v>296</v>
      </c>
      <c r="C9" s="794"/>
      <c r="D9" s="422" t="s">
        <v>623</v>
      </c>
      <c r="E9" s="417">
        <f>10795000+6000000</f>
        <v>16795000</v>
      </c>
      <c r="F9" s="418">
        <v>1120855</v>
      </c>
      <c r="G9" s="425">
        <v>0</v>
      </c>
      <c r="H9" s="417">
        <v>0</v>
      </c>
      <c r="I9" s="187">
        <f>SUM(E9:H9)</f>
        <v>17915855</v>
      </c>
      <c r="J9" s="8" t="s">
        <v>94</v>
      </c>
      <c r="K9" s="50"/>
      <c r="L9" s="50"/>
      <c r="M9" s="210"/>
      <c r="N9" s="50"/>
      <c r="O9" s="50"/>
      <c r="P9" s="50"/>
      <c r="Q9" s="50"/>
      <c r="R9" s="50"/>
      <c r="T9" s="1"/>
      <c r="U9" s="1"/>
      <c r="V9" s="1"/>
      <c r="W9" s="1"/>
      <c r="X9" s="1"/>
      <c r="Y9" s="1"/>
    </row>
    <row r="10" spans="1:25" ht="46.2" customHeight="1" x14ac:dyDescent="0.25">
      <c r="A10" s="8"/>
      <c r="B10" s="784" t="s">
        <v>582</v>
      </c>
      <c r="C10" s="785"/>
      <c r="D10" s="786"/>
      <c r="E10" s="599"/>
      <c r="F10" s="423"/>
      <c r="G10" s="600"/>
      <c r="H10" s="601"/>
      <c r="I10" s="423"/>
      <c r="J10" s="8"/>
      <c r="K10" s="50"/>
      <c r="L10" s="50"/>
      <c r="M10" s="210"/>
      <c r="N10" s="50"/>
      <c r="O10" s="50"/>
      <c r="P10" s="50"/>
      <c r="Q10" s="50"/>
      <c r="R10" s="50"/>
      <c r="T10" s="1"/>
      <c r="U10" s="1"/>
      <c r="V10" s="1"/>
      <c r="W10" s="1"/>
      <c r="X10" s="1"/>
      <c r="Y10" s="1"/>
    </row>
    <row r="11" spans="1:25" ht="13.2" customHeight="1" thickBot="1" x14ac:dyDescent="0.3">
      <c r="A11" s="8"/>
      <c r="B11" s="793" t="s">
        <v>296</v>
      </c>
      <c r="C11" s="794"/>
      <c r="D11" s="422" t="s">
        <v>979</v>
      </c>
      <c r="E11" s="417">
        <v>15622932</v>
      </c>
      <c r="F11" s="418">
        <v>0</v>
      </c>
      <c r="G11" s="425">
        <v>0</v>
      </c>
      <c r="H11" s="417">
        <v>0</v>
      </c>
      <c r="I11" s="187">
        <f>SUM(E11:H11)</f>
        <v>15622932</v>
      </c>
      <c r="J11" s="8" t="s">
        <v>94</v>
      </c>
      <c r="K11" s="50"/>
      <c r="L11" s="50"/>
      <c r="M11" s="210"/>
      <c r="N11" s="50"/>
      <c r="O11" s="50"/>
      <c r="P11" s="50"/>
      <c r="Q11" s="50"/>
      <c r="R11" s="50"/>
      <c r="T11" s="1"/>
      <c r="U11" s="1"/>
      <c r="V11" s="1"/>
      <c r="W11" s="1"/>
      <c r="X11" s="1"/>
      <c r="Y11" s="1"/>
    </row>
    <row r="12" spans="1:25" ht="45.75" customHeight="1" x14ac:dyDescent="0.25">
      <c r="A12" s="8"/>
      <c r="B12" s="787" t="s">
        <v>548</v>
      </c>
      <c r="C12" s="788"/>
      <c r="D12" s="789"/>
      <c r="E12" s="244"/>
      <c r="F12" s="151"/>
      <c r="G12" s="151"/>
      <c r="H12" s="153"/>
      <c r="I12" s="153"/>
      <c r="J12" s="8"/>
      <c r="K12" s="180"/>
      <c r="L12" s="180"/>
      <c r="M12" s="180"/>
      <c r="N12" s="50"/>
      <c r="O12" s="50"/>
      <c r="P12" s="50"/>
      <c r="Q12" s="50"/>
      <c r="R12" s="50"/>
      <c r="T12" s="1"/>
      <c r="U12" s="1"/>
      <c r="V12" s="1"/>
      <c r="W12" s="1"/>
      <c r="X12" s="1"/>
      <c r="Y12" s="1"/>
    </row>
    <row r="13" spans="1:25" ht="30" customHeight="1" thickBot="1" x14ac:dyDescent="0.3">
      <c r="A13" s="8"/>
      <c r="B13" s="795" t="s">
        <v>549</v>
      </c>
      <c r="C13" s="796"/>
      <c r="D13" s="201" t="s">
        <v>50</v>
      </c>
      <c r="E13" s="245">
        <v>1905000</v>
      </c>
      <c r="F13" s="152">
        <v>0</v>
      </c>
      <c r="G13" s="152">
        <v>0</v>
      </c>
      <c r="H13" s="154">
        <v>0</v>
      </c>
      <c r="I13" s="154">
        <f>SUM(E13:H13)</f>
        <v>1905000</v>
      </c>
      <c r="J13" s="8" t="s">
        <v>94</v>
      </c>
      <c r="K13" s="180"/>
      <c r="L13" s="180"/>
      <c r="M13" s="180"/>
      <c r="N13" s="50"/>
      <c r="O13" s="50"/>
      <c r="P13" s="50"/>
      <c r="Q13" s="50"/>
      <c r="R13" s="50"/>
      <c r="T13" s="1"/>
      <c r="U13" s="1"/>
      <c r="V13" s="1"/>
      <c r="W13" s="1"/>
      <c r="X13" s="1"/>
      <c r="Y13" s="1"/>
    </row>
    <row r="14" spans="1:25" ht="45.75" customHeight="1" x14ac:dyDescent="0.25">
      <c r="A14" s="8"/>
      <c r="B14" s="787" t="s">
        <v>548</v>
      </c>
      <c r="C14" s="788"/>
      <c r="D14" s="789"/>
      <c r="E14" s="419"/>
      <c r="F14" s="420"/>
      <c r="G14" s="420"/>
      <c r="H14" s="421"/>
      <c r="I14" s="421"/>
      <c r="J14" s="8"/>
      <c r="K14" s="180"/>
      <c r="L14" s="180"/>
      <c r="M14" s="180"/>
      <c r="N14" s="50"/>
      <c r="O14" s="50"/>
      <c r="P14" s="50"/>
      <c r="Q14" s="50"/>
      <c r="R14" s="50"/>
      <c r="T14" s="1"/>
      <c r="U14" s="1"/>
      <c r="V14" s="1"/>
      <c r="W14" s="1"/>
      <c r="X14" s="1"/>
      <c r="Y14" s="1"/>
    </row>
    <row r="15" spans="1:25" ht="14.4" thickBot="1" x14ac:dyDescent="0.3">
      <c r="A15" s="8"/>
      <c r="B15" s="795" t="s">
        <v>549</v>
      </c>
      <c r="C15" s="796"/>
      <c r="D15" s="201" t="s">
        <v>623</v>
      </c>
      <c r="E15" s="419">
        <v>1905000</v>
      </c>
      <c r="F15" s="420">
        <v>0</v>
      </c>
      <c r="G15" s="420">
        <v>0</v>
      </c>
      <c r="H15" s="421">
        <v>0</v>
      </c>
      <c r="I15" s="421">
        <f>SUM(E15:H15)</f>
        <v>1905000</v>
      </c>
      <c r="J15" s="8" t="s">
        <v>94</v>
      </c>
      <c r="K15" s="180"/>
      <c r="L15" s="180"/>
      <c r="M15" s="180"/>
      <c r="N15" s="50"/>
      <c r="O15" s="50"/>
      <c r="P15" s="50"/>
      <c r="Q15" s="50"/>
      <c r="R15" s="50"/>
      <c r="T15" s="1"/>
      <c r="U15" s="1"/>
      <c r="V15" s="1"/>
      <c r="W15" s="1"/>
      <c r="X15" s="1"/>
      <c r="Y15" s="1"/>
    </row>
    <row r="16" spans="1:25" ht="45.75" customHeight="1" x14ac:dyDescent="0.25">
      <c r="A16" s="8"/>
      <c r="B16" s="787" t="s">
        <v>548</v>
      </c>
      <c r="C16" s="788"/>
      <c r="D16" s="789"/>
      <c r="E16" s="244"/>
      <c r="F16" s="151"/>
      <c r="G16" s="151"/>
      <c r="H16" s="153"/>
      <c r="I16" s="153"/>
      <c r="J16" s="8"/>
      <c r="K16" s="180"/>
      <c r="L16" s="180"/>
      <c r="M16" s="180"/>
      <c r="N16" s="50"/>
      <c r="O16" s="50"/>
      <c r="P16" s="50"/>
      <c r="Q16" s="50"/>
      <c r="R16" s="50"/>
      <c r="T16" s="1"/>
      <c r="U16" s="1"/>
      <c r="V16" s="1"/>
      <c r="W16" s="1"/>
      <c r="X16" s="1"/>
      <c r="Y16" s="1"/>
    </row>
    <row r="17" spans="1:25" ht="14.4" thickBot="1" x14ac:dyDescent="0.3">
      <c r="A17" s="8"/>
      <c r="B17" s="795" t="s">
        <v>549</v>
      </c>
      <c r="C17" s="796"/>
      <c r="D17" s="201" t="s">
        <v>979</v>
      </c>
      <c r="E17" s="419">
        <v>1624731</v>
      </c>
      <c r="F17" s="420">
        <v>0</v>
      </c>
      <c r="G17" s="420">
        <v>0</v>
      </c>
      <c r="H17" s="421">
        <v>0</v>
      </c>
      <c r="I17" s="421">
        <f>SUM(E17:H17)</f>
        <v>1624731</v>
      </c>
      <c r="J17" s="8" t="s">
        <v>94</v>
      </c>
      <c r="K17" s="180"/>
      <c r="L17" s="180"/>
      <c r="M17" s="180"/>
      <c r="N17" s="50"/>
      <c r="O17" s="50"/>
      <c r="P17" s="50"/>
      <c r="Q17" s="50"/>
      <c r="R17" s="50"/>
      <c r="T17" s="1"/>
      <c r="U17" s="1"/>
      <c r="V17" s="1"/>
      <c r="W17" s="1"/>
      <c r="X17" s="1"/>
      <c r="Y17" s="1"/>
    </row>
    <row r="18" spans="1:25" ht="28.95" customHeight="1" x14ac:dyDescent="0.25">
      <c r="A18" s="8"/>
      <c r="B18" s="790" t="s">
        <v>550</v>
      </c>
      <c r="C18" s="791"/>
      <c r="D18" s="792"/>
      <c r="E18" s="244"/>
      <c r="F18" s="151"/>
      <c r="G18" s="151"/>
      <c r="H18" s="247"/>
      <c r="I18" s="153"/>
      <c r="J18" s="8"/>
      <c r="K18" s="180"/>
      <c r="L18" s="180"/>
      <c r="M18" s="180"/>
      <c r="N18" s="50"/>
      <c r="O18" s="50"/>
      <c r="P18" s="50"/>
      <c r="Q18" s="50"/>
      <c r="R18" s="50"/>
      <c r="T18" s="1"/>
      <c r="U18" s="1"/>
      <c r="V18" s="1"/>
      <c r="W18" s="1"/>
      <c r="X18" s="1"/>
      <c r="Y18" s="1"/>
    </row>
    <row r="19" spans="1:25" ht="28.2" customHeight="1" thickBot="1" x14ac:dyDescent="0.3">
      <c r="A19" s="8"/>
      <c r="B19" s="246" t="s">
        <v>287</v>
      </c>
      <c r="C19" s="456" t="s">
        <v>288</v>
      </c>
      <c r="D19" s="455" t="s">
        <v>50</v>
      </c>
      <c r="E19" s="245">
        <v>200000</v>
      </c>
      <c r="F19" s="152">
        <v>150000000</v>
      </c>
      <c r="G19" s="152">
        <v>0</v>
      </c>
      <c r="H19" s="152">
        <v>0</v>
      </c>
      <c r="I19" s="154">
        <f>SUM(E19:H19)-1</f>
        <v>150199999</v>
      </c>
      <c r="J19" s="8" t="s">
        <v>94</v>
      </c>
      <c r="K19" s="180"/>
      <c r="L19" s="180"/>
      <c r="M19" s="180"/>
      <c r="N19" s="50"/>
      <c r="O19" s="50"/>
      <c r="P19" s="50"/>
      <c r="Q19" s="50"/>
      <c r="R19" s="50"/>
      <c r="T19" s="1"/>
      <c r="U19" s="1"/>
      <c r="V19" s="1"/>
      <c r="W19" s="1"/>
      <c r="X19" s="1"/>
      <c r="Y19" s="1"/>
    </row>
    <row r="20" spans="1:25" ht="30.6" customHeight="1" x14ac:dyDescent="0.25">
      <c r="A20" s="8"/>
      <c r="B20" s="790" t="s">
        <v>550</v>
      </c>
      <c r="C20" s="791"/>
      <c r="D20" s="792"/>
      <c r="E20" s="419"/>
      <c r="F20" s="420"/>
      <c r="G20" s="420"/>
      <c r="H20" s="420"/>
      <c r="I20" s="421"/>
      <c r="J20" s="8"/>
      <c r="K20" s="180"/>
      <c r="L20" s="180"/>
      <c r="M20" s="180"/>
      <c r="N20" s="50"/>
      <c r="O20" s="50"/>
      <c r="P20" s="50"/>
      <c r="Q20" s="50"/>
      <c r="R20" s="50"/>
      <c r="T20" s="1"/>
      <c r="U20" s="1"/>
      <c r="V20" s="1"/>
      <c r="W20" s="1"/>
      <c r="X20" s="1"/>
      <c r="Y20" s="1"/>
    </row>
    <row r="21" spans="1:25" ht="23.4" customHeight="1" thickBot="1" x14ac:dyDescent="0.3">
      <c r="A21" s="8"/>
      <c r="B21" s="246" t="s">
        <v>287</v>
      </c>
      <c r="C21" s="500" t="s">
        <v>288</v>
      </c>
      <c r="D21" s="602" t="s">
        <v>623</v>
      </c>
      <c r="E21" s="419">
        <v>200000</v>
      </c>
      <c r="F21" s="420">
        <f>149907700-346481</f>
        <v>149561219</v>
      </c>
      <c r="G21" s="420">
        <v>0</v>
      </c>
      <c r="H21" s="420">
        <v>0</v>
      </c>
      <c r="I21" s="421">
        <f>SUM(E21:H21)</f>
        <v>149761219</v>
      </c>
      <c r="J21" s="8" t="s">
        <v>94</v>
      </c>
      <c r="K21" s="180"/>
      <c r="L21" s="180"/>
      <c r="M21" s="180"/>
      <c r="N21" s="50"/>
      <c r="O21" s="50"/>
      <c r="P21" s="50"/>
      <c r="Q21" s="50"/>
      <c r="R21" s="50"/>
      <c r="T21" s="1"/>
      <c r="U21" s="1"/>
      <c r="V21" s="1"/>
      <c r="W21" s="1"/>
      <c r="X21" s="1"/>
      <c r="Y21" s="1"/>
    </row>
    <row r="22" spans="1:25" ht="27.6" customHeight="1" x14ac:dyDescent="0.25">
      <c r="A22" s="8"/>
      <c r="B22" s="790" t="s">
        <v>550</v>
      </c>
      <c r="C22" s="791"/>
      <c r="D22" s="792"/>
      <c r="E22" s="244"/>
      <c r="F22" s="151"/>
      <c r="G22" s="151"/>
      <c r="H22" s="151"/>
      <c r="I22" s="153"/>
      <c r="J22" s="8"/>
      <c r="K22" s="180"/>
      <c r="L22" s="180"/>
      <c r="M22" s="180"/>
      <c r="N22" s="50"/>
      <c r="O22" s="50"/>
      <c r="P22" s="50"/>
      <c r="Q22" s="50"/>
      <c r="R22" s="50"/>
      <c r="T22" s="1"/>
      <c r="U22" s="1"/>
      <c r="V22" s="1"/>
      <c r="W22" s="1"/>
      <c r="X22" s="1"/>
      <c r="Y22" s="1"/>
    </row>
    <row r="23" spans="1:25" ht="23.4" customHeight="1" thickBot="1" x14ac:dyDescent="0.3">
      <c r="A23" s="8"/>
      <c r="B23" s="246" t="s">
        <v>981</v>
      </c>
      <c r="C23" s="500" t="s">
        <v>288</v>
      </c>
      <c r="D23" s="602" t="s">
        <v>623</v>
      </c>
      <c r="E23" s="245">
        <v>0</v>
      </c>
      <c r="F23" s="152">
        <v>30023601</v>
      </c>
      <c r="G23" s="152">
        <v>0</v>
      </c>
      <c r="H23" s="152">
        <v>0</v>
      </c>
      <c r="I23" s="154">
        <f>SUM(E23:H23)</f>
        <v>30023601</v>
      </c>
      <c r="J23" s="8" t="s">
        <v>94</v>
      </c>
      <c r="K23" s="180"/>
      <c r="L23" s="180"/>
      <c r="M23" s="180"/>
      <c r="N23" s="50"/>
      <c r="O23" s="50"/>
      <c r="P23" s="50"/>
      <c r="Q23" s="50"/>
      <c r="R23" s="50"/>
      <c r="T23" s="1"/>
      <c r="U23" s="1"/>
      <c r="V23" s="1"/>
      <c r="W23" s="1"/>
      <c r="X23" s="1"/>
      <c r="Y23" s="1"/>
    </row>
    <row r="24" spans="1:25" ht="14.4" thickBot="1" x14ac:dyDescent="0.3">
      <c r="A24" s="8"/>
      <c r="B24" s="130" t="s">
        <v>41</v>
      </c>
      <c r="C24" s="131"/>
      <c r="D24" s="118" t="s">
        <v>50</v>
      </c>
      <c r="E24" s="165">
        <f>E7+E13+E19</f>
        <v>12900000</v>
      </c>
      <c r="F24" s="165">
        <f t="shared" ref="F24:I24" si="0">F7+F13+F19</f>
        <v>151120855</v>
      </c>
      <c r="G24" s="165">
        <f t="shared" si="0"/>
        <v>0</v>
      </c>
      <c r="H24" s="165">
        <f t="shared" si="0"/>
        <v>0</v>
      </c>
      <c r="I24" s="165">
        <f t="shared" si="0"/>
        <v>164020854</v>
      </c>
      <c r="J24" s="62"/>
      <c r="K24" s="180"/>
      <c r="L24" s="180"/>
      <c r="M24" s="50"/>
      <c r="N24" s="50"/>
      <c r="O24" s="50"/>
      <c r="P24" s="50"/>
      <c r="Q24" s="50"/>
      <c r="R24" s="50"/>
      <c r="T24" s="1"/>
      <c r="U24" s="1"/>
      <c r="V24" s="1"/>
      <c r="W24" s="1"/>
      <c r="X24" s="1"/>
      <c r="Y24" s="1"/>
    </row>
    <row r="25" spans="1:25" ht="13.8" x14ac:dyDescent="0.25">
      <c r="A25" s="8"/>
      <c r="B25" s="133" t="s">
        <v>98</v>
      </c>
      <c r="C25" s="134"/>
      <c r="D25" s="183"/>
      <c r="E25" s="312">
        <f>E24</f>
        <v>12900000</v>
      </c>
      <c r="F25" s="312">
        <f t="shared" ref="F25:I25" si="1">F24</f>
        <v>151120855</v>
      </c>
      <c r="G25" s="312">
        <f t="shared" si="1"/>
        <v>0</v>
      </c>
      <c r="H25" s="312">
        <f t="shared" si="1"/>
        <v>0</v>
      </c>
      <c r="I25" s="312">
        <f t="shared" si="1"/>
        <v>164020854</v>
      </c>
      <c r="J25" s="62"/>
      <c r="K25" s="180"/>
      <c r="L25" s="180"/>
      <c r="M25" s="50"/>
      <c r="N25" s="50"/>
      <c r="O25" s="50"/>
      <c r="P25" s="50"/>
      <c r="Q25" s="50"/>
      <c r="R25" s="50"/>
      <c r="T25" s="1"/>
      <c r="U25" s="1"/>
      <c r="V25" s="1"/>
      <c r="W25" s="1"/>
      <c r="X25" s="1"/>
      <c r="Y25" s="1"/>
    </row>
    <row r="26" spans="1:25" ht="13.8" x14ac:dyDescent="0.25">
      <c r="A26" s="8"/>
      <c r="B26" s="133" t="s">
        <v>99</v>
      </c>
      <c r="C26" s="134"/>
      <c r="D26" s="183"/>
      <c r="E26" s="312">
        <f>SUM(E24-E25)</f>
        <v>0</v>
      </c>
      <c r="F26" s="312">
        <f>SUM(F24-F25)</f>
        <v>0</v>
      </c>
      <c r="G26" s="312">
        <f>SUM(G24-G25)</f>
        <v>0</v>
      </c>
      <c r="H26" s="312">
        <f>SUM(H24-H25)</f>
        <v>0</v>
      </c>
      <c r="I26" s="312">
        <f>SUM(I24-I25)</f>
        <v>0</v>
      </c>
      <c r="J26" s="62"/>
      <c r="K26" s="180"/>
      <c r="L26" s="180"/>
      <c r="M26" s="50"/>
      <c r="N26" s="50"/>
      <c r="O26" s="50"/>
      <c r="P26" s="50"/>
      <c r="Q26" s="50"/>
      <c r="R26" s="50"/>
      <c r="T26" s="1"/>
      <c r="U26" s="1"/>
      <c r="V26" s="1"/>
      <c r="W26" s="1"/>
      <c r="X26" s="1"/>
      <c r="Y26" s="1"/>
    </row>
    <row r="27" spans="1:25" ht="14.4" thickBot="1" x14ac:dyDescent="0.3">
      <c r="A27" s="8"/>
      <c r="B27" s="135" t="s">
        <v>286</v>
      </c>
      <c r="C27" s="136"/>
      <c r="D27" s="122" t="s">
        <v>50</v>
      </c>
      <c r="E27" s="313">
        <f>E19</f>
        <v>200000</v>
      </c>
      <c r="F27" s="313">
        <f t="shared" ref="F27:I27" si="2">F19</f>
        <v>150000000</v>
      </c>
      <c r="G27" s="313">
        <f t="shared" si="2"/>
        <v>0</v>
      </c>
      <c r="H27" s="313">
        <f t="shared" si="2"/>
        <v>0</v>
      </c>
      <c r="I27" s="313">
        <f t="shared" si="2"/>
        <v>150199999</v>
      </c>
      <c r="J27" s="62"/>
      <c r="K27" s="180"/>
      <c r="L27" s="180"/>
      <c r="M27" s="180"/>
      <c r="N27" s="50"/>
      <c r="O27" s="50"/>
      <c r="P27" s="50"/>
      <c r="Q27" s="50"/>
      <c r="R27" s="50"/>
      <c r="T27" s="1"/>
      <c r="U27" s="1"/>
      <c r="V27" s="1"/>
      <c r="W27" s="1"/>
      <c r="X27" s="1"/>
      <c r="Y27" s="1"/>
    </row>
    <row r="28" spans="1:25" ht="14.4" thickBot="1" x14ac:dyDescent="0.3">
      <c r="A28" s="8"/>
      <c r="B28" s="130" t="s">
        <v>41</v>
      </c>
      <c r="C28" s="131"/>
      <c r="D28" s="118" t="s">
        <v>623</v>
      </c>
      <c r="E28" s="165">
        <f>E9+E15+E21</f>
        <v>18900000</v>
      </c>
      <c r="F28" s="165">
        <f t="shared" ref="F28:I28" si="3">F9+F15+F21</f>
        <v>150682074</v>
      </c>
      <c r="G28" s="165">
        <f t="shared" si="3"/>
        <v>0</v>
      </c>
      <c r="H28" s="165">
        <f t="shared" si="3"/>
        <v>0</v>
      </c>
      <c r="I28" s="165">
        <f t="shared" si="3"/>
        <v>169582074</v>
      </c>
      <c r="J28" s="62"/>
      <c r="K28" s="180"/>
      <c r="L28" s="180"/>
      <c r="M28" s="180"/>
      <c r="N28" s="50"/>
      <c r="O28" s="50"/>
      <c r="P28" s="50"/>
      <c r="Q28" s="50"/>
      <c r="R28" s="50"/>
      <c r="T28" s="1"/>
      <c r="U28" s="1"/>
      <c r="V28" s="1"/>
      <c r="W28" s="1"/>
      <c r="X28" s="1"/>
      <c r="Y28" s="1"/>
    </row>
    <row r="29" spans="1:25" ht="13.8" x14ac:dyDescent="0.25">
      <c r="A29" s="8"/>
      <c r="B29" s="133" t="s">
        <v>98</v>
      </c>
      <c r="C29" s="134"/>
      <c r="D29" s="183"/>
      <c r="E29" s="312">
        <f>E9+E15+E21</f>
        <v>18900000</v>
      </c>
      <c r="F29" s="312">
        <f t="shared" ref="F29:I29" si="4">F9+F15+F21</f>
        <v>150682074</v>
      </c>
      <c r="G29" s="312">
        <f t="shared" si="4"/>
        <v>0</v>
      </c>
      <c r="H29" s="312">
        <f t="shared" si="4"/>
        <v>0</v>
      </c>
      <c r="I29" s="312">
        <f t="shared" si="4"/>
        <v>169582074</v>
      </c>
      <c r="J29" s="62"/>
      <c r="K29" s="180"/>
      <c r="L29" s="180"/>
      <c r="M29" s="180"/>
      <c r="N29" s="50"/>
      <c r="O29" s="50"/>
      <c r="P29" s="50"/>
      <c r="Q29" s="50"/>
      <c r="R29" s="50"/>
      <c r="T29" s="1"/>
      <c r="U29" s="1"/>
      <c r="V29" s="1"/>
      <c r="W29" s="1"/>
      <c r="X29" s="1"/>
      <c r="Y29" s="1"/>
    </row>
    <row r="30" spans="1:25" ht="13.8" x14ac:dyDescent="0.25">
      <c r="A30" s="8"/>
      <c r="B30" s="133" t="s">
        <v>99</v>
      </c>
      <c r="C30" s="134"/>
      <c r="D30" s="183"/>
      <c r="E30" s="312">
        <f>0</f>
        <v>0</v>
      </c>
      <c r="F30" s="312">
        <f>0</f>
        <v>0</v>
      </c>
      <c r="G30" s="312">
        <f>0</f>
        <v>0</v>
      </c>
      <c r="H30" s="312">
        <f>0</f>
        <v>0</v>
      </c>
      <c r="I30" s="312">
        <f>0</f>
        <v>0</v>
      </c>
      <c r="J30" s="62"/>
      <c r="K30" s="180"/>
      <c r="L30" s="180"/>
      <c r="M30" s="180"/>
      <c r="N30" s="50"/>
      <c r="O30" s="50"/>
      <c r="P30" s="50"/>
      <c r="Q30" s="50"/>
      <c r="R30" s="50"/>
      <c r="T30" s="1"/>
      <c r="U30" s="1"/>
      <c r="V30" s="1"/>
      <c r="W30" s="1"/>
      <c r="X30" s="1"/>
      <c r="Y30" s="1"/>
    </row>
    <row r="31" spans="1:25" ht="14.4" thickBot="1" x14ac:dyDescent="0.3">
      <c r="A31" s="8"/>
      <c r="B31" s="135" t="s">
        <v>286</v>
      </c>
      <c r="C31" s="136"/>
      <c r="D31" s="122" t="s">
        <v>623</v>
      </c>
      <c r="E31" s="313">
        <f>E21</f>
        <v>200000</v>
      </c>
      <c r="F31" s="313">
        <f t="shared" ref="F31:I31" si="5">F21</f>
        <v>149561219</v>
      </c>
      <c r="G31" s="313">
        <f t="shared" si="5"/>
        <v>0</v>
      </c>
      <c r="H31" s="313">
        <f t="shared" si="5"/>
        <v>0</v>
      </c>
      <c r="I31" s="313">
        <f t="shared" si="5"/>
        <v>149761219</v>
      </c>
      <c r="J31" s="62"/>
      <c r="K31" s="180"/>
      <c r="L31" s="180"/>
      <c r="M31" s="180"/>
      <c r="N31" s="50"/>
      <c r="O31" s="50"/>
      <c r="P31" s="50"/>
      <c r="Q31" s="50"/>
      <c r="R31" s="50"/>
      <c r="T31" s="1"/>
      <c r="U31" s="1"/>
      <c r="V31" s="1"/>
      <c r="W31" s="1"/>
      <c r="X31" s="1"/>
      <c r="Y31" s="1"/>
    </row>
    <row r="32" spans="1:25" ht="14.4" thickBot="1" x14ac:dyDescent="0.3">
      <c r="A32" s="8"/>
      <c r="B32" s="130" t="s">
        <v>41</v>
      </c>
      <c r="C32" s="131"/>
      <c r="D32" s="118" t="s">
        <v>979</v>
      </c>
      <c r="E32" s="165">
        <f>E23+E17+E11</f>
        <v>17247663</v>
      </c>
      <c r="F32" s="165">
        <f t="shared" ref="F32:I32" si="6">F23+F17+F11</f>
        <v>30023601</v>
      </c>
      <c r="G32" s="165">
        <f t="shared" si="6"/>
        <v>0</v>
      </c>
      <c r="H32" s="165">
        <f t="shared" si="6"/>
        <v>0</v>
      </c>
      <c r="I32" s="165">
        <f t="shared" si="6"/>
        <v>47271264</v>
      </c>
      <c r="J32" s="62"/>
      <c r="K32" s="180"/>
      <c r="L32" s="180"/>
      <c r="M32" s="180"/>
      <c r="N32" s="50"/>
      <c r="O32" s="50"/>
      <c r="P32" s="50"/>
      <c r="Q32" s="50"/>
      <c r="R32" s="50"/>
      <c r="T32" s="1"/>
      <c r="U32" s="1"/>
      <c r="V32" s="1"/>
      <c r="W32" s="1"/>
      <c r="X32" s="1"/>
      <c r="Y32" s="1"/>
    </row>
    <row r="33" spans="1:25" ht="13.8" x14ac:dyDescent="0.25">
      <c r="A33" s="8"/>
      <c r="B33" s="133" t="s">
        <v>98</v>
      </c>
      <c r="C33" s="134"/>
      <c r="D33" s="183"/>
      <c r="E33" s="312">
        <f>E23+E17+E11</f>
        <v>17247663</v>
      </c>
      <c r="F33" s="312">
        <f t="shared" ref="F33:I33" si="7">F23+F17+F11</f>
        <v>30023601</v>
      </c>
      <c r="G33" s="312">
        <f t="shared" si="7"/>
        <v>0</v>
      </c>
      <c r="H33" s="312">
        <f t="shared" si="7"/>
        <v>0</v>
      </c>
      <c r="I33" s="312">
        <f t="shared" si="7"/>
        <v>47271264</v>
      </c>
      <c r="J33" s="62"/>
      <c r="K33" s="180"/>
      <c r="L33" s="180"/>
      <c r="M33" s="180"/>
      <c r="N33" s="50"/>
      <c r="O33" s="50"/>
      <c r="P33" s="50"/>
      <c r="Q33" s="50"/>
      <c r="R33" s="50"/>
      <c r="T33" s="1"/>
      <c r="U33" s="1"/>
      <c r="V33" s="1"/>
      <c r="W33" s="1"/>
      <c r="X33" s="1"/>
      <c r="Y33" s="1"/>
    </row>
    <row r="34" spans="1:25" ht="13.8" x14ac:dyDescent="0.25">
      <c r="A34" s="8"/>
      <c r="B34" s="133" t="s">
        <v>99</v>
      </c>
      <c r="C34" s="134"/>
      <c r="D34" s="183"/>
      <c r="E34" s="312"/>
      <c r="F34" s="312"/>
      <c r="G34" s="312"/>
      <c r="H34" s="312"/>
      <c r="I34" s="312"/>
      <c r="J34" s="62"/>
      <c r="K34" s="180"/>
      <c r="L34" s="180"/>
      <c r="M34" s="180"/>
      <c r="N34" s="50"/>
      <c r="O34" s="50"/>
      <c r="P34" s="50"/>
      <c r="Q34" s="50"/>
      <c r="R34" s="50"/>
      <c r="T34" s="1"/>
      <c r="U34" s="1"/>
      <c r="V34" s="1"/>
      <c r="W34" s="1"/>
      <c r="X34" s="1"/>
      <c r="Y34" s="1"/>
    </row>
    <row r="35" spans="1:25" ht="14.4" thickBot="1" x14ac:dyDescent="0.3">
      <c r="A35" s="8"/>
      <c r="B35" s="135" t="s">
        <v>286</v>
      </c>
      <c r="C35" s="136"/>
      <c r="D35" s="122" t="s">
        <v>979</v>
      </c>
      <c r="E35" s="313">
        <f>E23</f>
        <v>0</v>
      </c>
      <c r="F35" s="313">
        <f t="shared" ref="F35:I35" si="8">F23</f>
        <v>30023601</v>
      </c>
      <c r="G35" s="313">
        <f t="shared" si="8"/>
        <v>0</v>
      </c>
      <c r="H35" s="313">
        <f t="shared" si="8"/>
        <v>0</v>
      </c>
      <c r="I35" s="313">
        <f t="shared" si="8"/>
        <v>30023601</v>
      </c>
      <c r="J35" s="62"/>
      <c r="K35" s="180"/>
      <c r="L35" s="180"/>
      <c r="M35" s="180"/>
      <c r="N35" s="50"/>
      <c r="O35" s="50"/>
      <c r="P35" s="50"/>
      <c r="Q35" s="50"/>
      <c r="R35" s="50"/>
      <c r="T35" s="1"/>
      <c r="U35" s="1"/>
      <c r="V35" s="1"/>
      <c r="W35" s="1"/>
      <c r="X35" s="1"/>
      <c r="Y35" s="1"/>
    </row>
    <row r="36" spans="1:25" x14ac:dyDescent="0.25">
      <c r="A36" s="8"/>
      <c r="B36" s="50"/>
      <c r="C36" s="50"/>
      <c r="D36" s="50"/>
      <c r="E36" s="180"/>
      <c r="F36" s="180"/>
      <c r="G36" s="50"/>
      <c r="H36" s="50"/>
      <c r="I36" s="69"/>
      <c r="J36" s="8"/>
      <c r="K36" s="50"/>
      <c r="L36" s="50"/>
      <c r="M36" s="50"/>
      <c r="N36" s="50"/>
      <c r="O36" s="50"/>
      <c r="P36" s="50"/>
      <c r="Q36" s="50"/>
      <c r="R36" s="50"/>
      <c r="T36" s="1"/>
      <c r="U36" s="1"/>
      <c r="V36" s="1"/>
      <c r="W36" s="1"/>
      <c r="X36" s="1"/>
      <c r="Y36" s="1"/>
    </row>
    <row r="37" spans="1:25" x14ac:dyDescent="0.25">
      <c r="A37" s="8"/>
      <c r="B37" s="50"/>
      <c r="C37" s="50"/>
      <c r="D37" s="50"/>
      <c r="E37" s="180"/>
      <c r="F37" s="180"/>
      <c r="G37" s="180"/>
      <c r="H37" s="180"/>
      <c r="I37" s="180"/>
      <c r="J37" s="8"/>
      <c r="K37" s="50"/>
      <c r="L37" s="180"/>
      <c r="M37" s="50"/>
      <c r="N37" s="50"/>
      <c r="O37" s="50"/>
      <c r="P37" s="50"/>
      <c r="Q37" s="50"/>
      <c r="R37" s="50"/>
      <c r="T37" s="1"/>
      <c r="U37" s="1"/>
      <c r="V37" s="1"/>
      <c r="W37" s="1"/>
      <c r="X37" s="1"/>
      <c r="Y37" s="1"/>
    </row>
    <row r="38" spans="1:25" x14ac:dyDescent="0.25">
      <c r="A38" s="8"/>
      <c r="B38" s="50"/>
      <c r="C38" s="50"/>
      <c r="D38" s="50"/>
      <c r="E38" s="180"/>
      <c r="F38" s="180"/>
      <c r="G38" s="50"/>
      <c r="H38" s="50"/>
      <c r="I38" s="50"/>
      <c r="J38" s="8"/>
      <c r="K38" s="180"/>
      <c r="L38" s="180"/>
      <c r="M38" s="50"/>
      <c r="N38" s="50"/>
      <c r="O38" s="50"/>
      <c r="P38" s="50"/>
      <c r="Q38" s="50"/>
      <c r="R38" s="50"/>
      <c r="T38" s="1"/>
      <c r="U38" s="1"/>
      <c r="V38" s="1"/>
      <c r="W38" s="1"/>
      <c r="X38" s="1"/>
      <c r="Y38" s="1"/>
    </row>
    <row r="39" spans="1:25" x14ac:dyDescent="0.25">
      <c r="A39" s="8"/>
      <c r="B39" s="50"/>
      <c r="C39" s="50"/>
      <c r="D39" s="50"/>
      <c r="E39" s="180"/>
      <c r="F39" s="180"/>
      <c r="G39" s="50"/>
      <c r="H39" s="50"/>
      <c r="I39" s="50"/>
      <c r="J39" s="8"/>
      <c r="K39" s="180"/>
      <c r="L39" s="50"/>
      <c r="M39" s="50"/>
      <c r="N39" s="50"/>
      <c r="O39" s="50"/>
      <c r="P39" s="50"/>
      <c r="Q39" s="50"/>
      <c r="R39" s="50"/>
      <c r="T39" s="1"/>
      <c r="U39" s="1"/>
      <c r="V39" s="1"/>
      <c r="W39" s="1"/>
      <c r="X39" s="1"/>
      <c r="Y39" s="1"/>
    </row>
    <row r="40" spans="1:25" x14ac:dyDescent="0.25">
      <c r="A40" s="8"/>
      <c r="B40" s="50"/>
      <c r="C40" s="50"/>
      <c r="D40" s="50"/>
      <c r="E40" s="180"/>
      <c r="F40" s="180"/>
      <c r="G40" s="50"/>
      <c r="H40" s="50"/>
      <c r="I40" s="50"/>
      <c r="J40" s="8"/>
      <c r="K40" s="180"/>
      <c r="L40" s="50"/>
      <c r="M40" s="50"/>
      <c r="N40" s="50"/>
      <c r="O40" s="50"/>
      <c r="P40" s="50"/>
      <c r="Q40" s="50"/>
      <c r="R40" s="50"/>
      <c r="T40" s="1"/>
      <c r="U40" s="1"/>
      <c r="V40" s="1"/>
      <c r="W40" s="1"/>
      <c r="X40" s="1"/>
      <c r="Y40" s="1"/>
    </row>
    <row r="41" spans="1:25" x14ac:dyDescent="0.25">
      <c r="A41" s="8"/>
      <c r="B41" s="50"/>
      <c r="C41" s="50"/>
      <c r="D41" s="50"/>
      <c r="E41" s="180"/>
      <c r="F41" s="180"/>
      <c r="G41" s="180"/>
      <c r="H41" s="180"/>
      <c r="I41" s="50"/>
      <c r="J41" s="8"/>
      <c r="K41" s="50"/>
      <c r="L41" s="50"/>
      <c r="M41" s="50"/>
      <c r="N41" s="50"/>
      <c r="O41" s="50"/>
      <c r="P41" s="50"/>
      <c r="Q41" s="50"/>
      <c r="R41" s="50"/>
      <c r="T41" s="1"/>
      <c r="U41" s="1"/>
      <c r="V41" s="1"/>
      <c r="W41" s="1"/>
      <c r="X41" s="1"/>
      <c r="Y41" s="1"/>
    </row>
    <row r="42" spans="1:25" x14ac:dyDescent="0.25">
      <c r="A42" s="8"/>
      <c r="B42" s="50"/>
      <c r="C42" s="50"/>
      <c r="D42" s="50"/>
      <c r="E42" s="180"/>
      <c r="F42" s="180"/>
      <c r="G42" s="50"/>
      <c r="H42" s="50"/>
      <c r="I42" s="50"/>
      <c r="J42" s="8"/>
      <c r="K42" s="50"/>
      <c r="L42" s="50"/>
      <c r="M42" s="50"/>
      <c r="N42" s="50"/>
      <c r="O42" s="50"/>
      <c r="P42" s="50"/>
      <c r="Q42" s="50"/>
      <c r="R42" s="50"/>
      <c r="T42" s="1"/>
      <c r="U42" s="1"/>
      <c r="V42" s="1"/>
      <c r="W42" s="1"/>
      <c r="X42" s="1"/>
      <c r="Y42" s="1"/>
    </row>
    <row r="43" spans="1:25" x14ac:dyDescent="0.25">
      <c r="A43" s="8"/>
      <c r="B43" s="50"/>
      <c r="C43" s="50"/>
      <c r="D43" s="50"/>
      <c r="E43" s="180"/>
      <c r="F43" s="180"/>
      <c r="G43" s="50"/>
      <c r="H43" s="50"/>
      <c r="I43" s="50"/>
      <c r="J43" s="8"/>
      <c r="K43" s="50"/>
      <c r="L43" s="50"/>
      <c r="M43" s="50"/>
      <c r="N43" s="50"/>
      <c r="O43" s="50"/>
      <c r="P43" s="50"/>
      <c r="Q43" s="50"/>
      <c r="R43" s="50"/>
      <c r="T43" s="1"/>
      <c r="U43" s="1"/>
      <c r="V43" s="1"/>
      <c r="W43" s="1"/>
      <c r="X43" s="1"/>
      <c r="Y43" s="1"/>
    </row>
    <row r="44" spans="1:25" ht="12" customHeight="1" x14ac:dyDescent="0.25">
      <c r="A44" s="8"/>
      <c r="B44" s="50"/>
      <c r="C44" s="50"/>
      <c r="D44" s="50"/>
      <c r="E44" s="180"/>
      <c r="F44" s="180"/>
      <c r="G44" s="50"/>
      <c r="H44" s="50"/>
      <c r="I44" s="50"/>
      <c r="J44" s="8"/>
      <c r="K44" s="50"/>
      <c r="L44" s="50"/>
      <c r="M44" s="50"/>
      <c r="N44" s="50"/>
      <c r="O44" s="50"/>
      <c r="P44" s="50"/>
      <c r="Q44" s="50"/>
      <c r="R44" s="50"/>
      <c r="T44" s="1"/>
      <c r="U44" s="1"/>
      <c r="V44" s="1"/>
      <c r="W44" s="1"/>
      <c r="X44" s="1"/>
      <c r="Y44" s="1"/>
    </row>
    <row r="45" spans="1:25" x14ac:dyDescent="0.25">
      <c r="A45" s="8"/>
      <c r="B45" s="50"/>
      <c r="C45" s="50"/>
      <c r="D45" s="50"/>
      <c r="E45" s="180"/>
      <c r="F45" s="180"/>
      <c r="G45" s="50"/>
      <c r="H45" s="50"/>
      <c r="I45" s="50"/>
      <c r="J45" s="8"/>
      <c r="K45" s="50"/>
      <c r="L45" s="50"/>
      <c r="M45" s="50"/>
      <c r="N45" s="50"/>
      <c r="O45" s="50"/>
      <c r="P45" s="50"/>
      <c r="Q45" s="50"/>
      <c r="R45" s="50"/>
      <c r="T45" s="1"/>
      <c r="U45" s="1"/>
      <c r="V45" s="1"/>
      <c r="W45" s="1"/>
      <c r="X45" s="1"/>
      <c r="Y45" s="1"/>
    </row>
    <row r="46" spans="1:25" x14ac:dyDescent="0.25">
      <c r="A46" s="8"/>
      <c r="B46" s="50"/>
      <c r="C46" s="50"/>
      <c r="D46" s="50"/>
      <c r="E46" s="180"/>
      <c r="F46" s="180"/>
      <c r="G46" s="50"/>
      <c r="H46" s="50"/>
      <c r="I46" s="50"/>
      <c r="J46" s="8"/>
      <c r="K46" s="50"/>
      <c r="L46" s="50"/>
      <c r="M46" s="50"/>
      <c r="N46" s="50"/>
      <c r="O46" s="50"/>
      <c r="P46" s="50"/>
      <c r="Q46" s="50"/>
      <c r="R46" s="50"/>
      <c r="T46" s="1"/>
      <c r="U46" s="1"/>
      <c r="V46" s="1"/>
      <c r="W46" s="1"/>
      <c r="X46" s="1"/>
      <c r="Y46" s="1"/>
    </row>
    <row r="47" spans="1:25" x14ac:dyDescent="0.25">
      <c r="A47" s="8"/>
      <c r="B47" s="50"/>
      <c r="C47" s="50"/>
      <c r="D47" s="50"/>
      <c r="E47" s="50"/>
      <c r="F47" s="50"/>
      <c r="G47" s="50"/>
      <c r="H47" s="50"/>
      <c r="I47" s="50"/>
      <c r="J47" s="8"/>
      <c r="K47" s="50"/>
      <c r="L47" s="50"/>
      <c r="M47" s="50"/>
      <c r="N47" s="50"/>
      <c r="O47" s="50"/>
      <c r="P47" s="50"/>
      <c r="Q47" s="50"/>
      <c r="R47" s="50"/>
      <c r="T47" s="1"/>
      <c r="U47" s="1"/>
      <c r="V47" s="1"/>
      <c r="W47" s="1"/>
      <c r="X47" s="1"/>
      <c r="Y47" s="1"/>
    </row>
    <row r="48" spans="1:25" x14ac:dyDescent="0.25">
      <c r="A48" s="8"/>
      <c r="B48" s="50"/>
      <c r="C48" s="50"/>
      <c r="D48" s="50"/>
      <c r="E48" s="50"/>
      <c r="F48" s="50"/>
      <c r="G48" s="50"/>
      <c r="H48" s="50"/>
      <c r="I48" s="50"/>
      <c r="J48" s="8"/>
      <c r="K48" s="50"/>
      <c r="L48" s="50"/>
      <c r="M48" s="50"/>
      <c r="N48" s="50"/>
      <c r="O48" s="50"/>
      <c r="P48" s="50"/>
      <c r="Q48" s="50"/>
      <c r="R48" s="50"/>
      <c r="T48" s="1"/>
      <c r="U48" s="1"/>
      <c r="V48" s="1"/>
      <c r="W48" s="1"/>
      <c r="X48" s="1"/>
      <c r="Y48" s="1"/>
    </row>
    <row r="49" spans="1:25" x14ac:dyDescent="0.25">
      <c r="A49" s="8"/>
      <c r="B49" s="50"/>
      <c r="C49" s="50"/>
      <c r="D49" s="50"/>
      <c r="E49" s="50"/>
      <c r="F49" s="50"/>
      <c r="G49" s="50"/>
      <c r="H49" s="50"/>
      <c r="I49" s="50"/>
      <c r="J49" s="8"/>
      <c r="K49" s="50"/>
      <c r="L49" s="50"/>
      <c r="M49" s="50"/>
      <c r="N49" s="50"/>
      <c r="O49" s="50"/>
      <c r="P49" s="50"/>
      <c r="Q49" s="50"/>
      <c r="R49" s="50"/>
      <c r="T49" s="1"/>
      <c r="U49" s="1"/>
      <c r="V49" s="1"/>
      <c r="W49" s="1"/>
      <c r="X49" s="1"/>
      <c r="Y49" s="1"/>
    </row>
    <row r="50" spans="1:25" x14ac:dyDescent="0.25">
      <c r="A50" s="8"/>
      <c r="B50" s="50"/>
      <c r="C50" s="50"/>
      <c r="D50" s="50"/>
      <c r="E50" s="50"/>
      <c r="F50" s="50"/>
      <c r="G50" s="50"/>
      <c r="H50" s="50"/>
      <c r="I50" s="50"/>
      <c r="J50" s="8"/>
      <c r="K50" s="50"/>
      <c r="L50" s="50"/>
      <c r="M50" s="50"/>
      <c r="N50" s="50"/>
      <c r="O50" s="50"/>
      <c r="P50" s="50"/>
      <c r="Q50" s="50"/>
      <c r="R50" s="50"/>
      <c r="T50" s="1"/>
      <c r="U50" s="1"/>
      <c r="V50" s="1"/>
      <c r="W50" s="1"/>
      <c r="X50" s="1"/>
      <c r="Y50" s="1"/>
    </row>
    <row r="51" spans="1:25" x14ac:dyDescent="0.25">
      <c r="A51" s="8"/>
      <c r="B51" s="50"/>
      <c r="C51" s="50"/>
      <c r="D51" s="50"/>
      <c r="E51" s="50"/>
      <c r="F51" s="50"/>
      <c r="G51" s="50"/>
      <c r="H51" s="50"/>
      <c r="I51" s="50"/>
      <c r="J51" s="8"/>
      <c r="K51" s="50"/>
      <c r="L51" s="50"/>
      <c r="M51" s="50"/>
      <c r="N51" s="50"/>
      <c r="O51" s="50"/>
      <c r="P51" s="50"/>
      <c r="Q51" s="50"/>
      <c r="R51" s="50"/>
      <c r="T51" s="1"/>
      <c r="U51" s="1"/>
      <c r="V51" s="1"/>
      <c r="W51" s="1"/>
      <c r="X51" s="1"/>
      <c r="Y51" s="1"/>
    </row>
    <row r="52" spans="1:25" x14ac:dyDescent="0.25">
      <c r="A52" s="8"/>
      <c r="B52" s="50"/>
      <c r="C52" s="50"/>
      <c r="D52" s="50"/>
      <c r="E52" s="50"/>
      <c r="F52" s="50"/>
      <c r="G52" s="50"/>
      <c r="H52" s="50"/>
      <c r="I52" s="50"/>
      <c r="J52" s="8"/>
      <c r="K52" s="50"/>
      <c r="L52" s="50"/>
      <c r="M52" s="50"/>
      <c r="N52" s="50"/>
      <c r="O52" s="50"/>
      <c r="P52" s="50"/>
      <c r="Q52" s="50"/>
      <c r="R52" s="50"/>
    </row>
    <row r="53" spans="1:25" x14ac:dyDescent="0.25">
      <c r="A53" s="8"/>
      <c r="B53" s="50"/>
      <c r="C53" s="50"/>
      <c r="D53" s="50"/>
      <c r="E53" s="50"/>
      <c r="F53" s="50"/>
      <c r="G53" s="50"/>
      <c r="H53" s="50"/>
      <c r="I53" s="50"/>
      <c r="J53" s="8"/>
      <c r="K53" s="50"/>
      <c r="L53" s="50"/>
      <c r="M53" s="50"/>
      <c r="N53" s="50"/>
      <c r="O53" s="50"/>
      <c r="P53" s="50"/>
      <c r="Q53" s="50"/>
      <c r="R53" s="50"/>
    </row>
    <row r="54" spans="1:25" x14ac:dyDescent="0.25">
      <c r="A54" s="8"/>
      <c r="B54" s="50"/>
      <c r="C54" s="50"/>
      <c r="D54" s="50"/>
      <c r="E54" s="50"/>
      <c r="F54" s="50"/>
      <c r="G54" s="50"/>
      <c r="H54" s="50"/>
      <c r="I54" s="50"/>
      <c r="J54" s="8"/>
      <c r="K54" s="50"/>
      <c r="L54" s="50"/>
      <c r="M54" s="50"/>
      <c r="N54" s="50"/>
      <c r="O54" s="50"/>
      <c r="P54" s="50"/>
      <c r="Q54" s="50"/>
      <c r="R54" s="50"/>
    </row>
    <row r="55" spans="1:25" x14ac:dyDescent="0.25">
      <c r="A55" s="8"/>
      <c r="B55" s="50"/>
      <c r="C55" s="50"/>
      <c r="D55" s="50"/>
      <c r="E55" s="50"/>
      <c r="F55" s="50"/>
      <c r="G55" s="50"/>
      <c r="H55" s="50"/>
      <c r="I55" s="50"/>
      <c r="J55" s="8"/>
      <c r="K55" s="50"/>
      <c r="L55" s="50"/>
      <c r="M55" s="50"/>
      <c r="N55" s="50"/>
      <c r="O55" s="50"/>
      <c r="P55" s="50"/>
      <c r="Q55" s="50"/>
      <c r="R55" s="50"/>
    </row>
    <row r="56" spans="1:25" x14ac:dyDescent="0.25">
      <c r="A56" s="8"/>
      <c r="B56" s="50"/>
      <c r="C56" s="50"/>
      <c r="D56" s="50"/>
      <c r="E56" s="50"/>
      <c r="F56" s="50"/>
      <c r="G56" s="50"/>
      <c r="H56" s="50"/>
      <c r="I56" s="50"/>
      <c r="J56" s="8"/>
      <c r="K56" s="50"/>
      <c r="L56" s="50"/>
      <c r="M56" s="50"/>
      <c r="N56" s="50"/>
      <c r="O56" s="50"/>
      <c r="P56" s="50"/>
      <c r="Q56" s="50"/>
      <c r="R56" s="50"/>
    </row>
    <row r="57" spans="1:25" x14ac:dyDescent="0.25">
      <c r="A57" s="8"/>
      <c r="B57" s="50"/>
      <c r="C57" s="50"/>
      <c r="D57" s="50"/>
      <c r="E57" s="50"/>
      <c r="F57" s="50"/>
      <c r="G57" s="50"/>
      <c r="H57" s="50"/>
      <c r="I57" s="50"/>
      <c r="J57" s="8"/>
      <c r="K57" s="50"/>
      <c r="L57" s="50"/>
      <c r="M57" s="50"/>
      <c r="N57" s="50"/>
      <c r="O57" s="50"/>
      <c r="P57" s="50"/>
      <c r="Q57" s="50"/>
      <c r="R57" s="50"/>
    </row>
    <row r="58" spans="1:25" x14ac:dyDescent="0.25">
      <c r="A58" s="8"/>
      <c r="B58" s="50"/>
      <c r="C58" s="50"/>
      <c r="D58" s="50"/>
      <c r="E58" s="50"/>
      <c r="F58" s="50"/>
      <c r="G58" s="50"/>
      <c r="H58" s="50"/>
      <c r="I58" s="50"/>
      <c r="J58" s="8"/>
      <c r="K58" s="50"/>
      <c r="L58" s="50"/>
      <c r="M58" s="50"/>
      <c r="N58" s="50"/>
      <c r="O58" s="50"/>
      <c r="P58" s="50"/>
      <c r="Q58" s="50"/>
      <c r="R58" s="50"/>
    </row>
    <row r="59" spans="1:25" x14ac:dyDescent="0.25">
      <c r="A59" s="8"/>
      <c r="B59" s="50"/>
      <c r="C59" s="50"/>
      <c r="D59" s="50"/>
      <c r="E59" s="50"/>
      <c r="F59" s="50"/>
      <c r="G59" s="50"/>
      <c r="H59" s="50"/>
      <c r="I59" s="50"/>
      <c r="J59" s="8"/>
      <c r="K59" s="50"/>
      <c r="L59" s="50"/>
      <c r="M59" s="50"/>
      <c r="N59" s="50"/>
      <c r="O59" s="50"/>
      <c r="P59" s="50"/>
      <c r="Q59" s="50"/>
      <c r="R59" s="50"/>
    </row>
    <row r="60" spans="1:25" x14ac:dyDescent="0.25">
      <c r="A60" s="8"/>
      <c r="B60" s="50"/>
      <c r="C60" s="50"/>
      <c r="D60" s="50"/>
      <c r="E60" s="50"/>
      <c r="F60" s="50"/>
      <c r="G60" s="50"/>
      <c r="H60" s="50"/>
      <c r="I60" s="50"/>
      <c r="J60" s="8"/>
      <c r="K60" s="50"/>
      <c r="L60" s="50"/>
      <c r="M60" s="50"/>
      <c r="N60" s="50"/>
      <c r="O60" s="50"/>
      <c r="P60" s="50"/>
      <c r="Q60" s="50"/>
      <c r="R60" s="50"/>
    </row>
    <row r="61" spans="1:25" x14ac:dyDescent="0.25">
      <c r="A61" s="8"/>
      <c r="B61" s="50"/>
      <c r="C61" s="50"/>
      <c r="D61" s="50"/>
      <c r="E61" s="50"/>
      <c r="F61" s="50"/>
      <c r="G61" s="50"/>
      <c r="H61" s="50"/>
      <c r="I61" s="50"/>
      <c r="J61" s="8"/>
      <c r="K61" s="50"/>
      <c r="L61" s="50"/>
      <c r="M61" s="50"/>
      <c r="N61" s="50"/>
      <c r="O61" s="50"/>
      <c r="P61" s="50"/>
      <c r="Q61" s="50"/>
      <c r="R61" s="50"/>
    </row>
    <row r="62" spans="1:25" x14ac:dyDescent="0.25">
      <c r="A62" s="8"/>
      <c r="B62" s="50"/>
      <c r="C62" s="50"/>
      <c r="D62" s="50"/>
      <c r="E62" s="50"/>
      <c r="F62" s="50"/>
      <c r="G62" s="50"/>
      <c r="H62" s="50"/>
      <c r="I62" s="50"/>
      <c r="J62" s="8"/>
      <c r="K62" s="50"/>
      <c r="L62" s="50"/>
      <c r="M62" s="50"/>
      <c r="N62" s="50"/>
      <c r="O62" s="50"/>
      <c r="P62" s="50"/>
      <c r="Q62" s="50"/>
      <c r="R62" s="50"/>
    </row>
    <row r="63" spans="1:25" x14ac:dyDescent="0.25">
      <c r="A63" s="8"/>
      <c r="B63" s="50"/>
      <c r="C63" s="50"/>
      <c r="D63" s="50"/>
      <c r="E63" s="50"/>
      <c r="F63" s="50"/>
      <c r="G63" s="50"/>
      <c r="H63" s="50"/>
      <c r="I63" s="50"/>
      <c r="J63" s="8"/>
      <c r="K63" s="50"/>
      <c r="L63" s="50"/>
      <c r="M63" s="50"/>
      <c r="N63" s="50"/>
      <c r="O63" s="50"/>
      <c r="P63" s="50"/>
      <c r="Q63" s="50"/>
      <c r="R63" s="50"/>
    </row>
    <row r="64" spans="1:25" x14ac:dyDescent="0.25">
      <c r="A64" s="8"/>
      <c r="B64" s="50"/>
      <c r="C64" s="50"/>
      <c r="D64" s="50"/>
      <c r="E64" s="50"/>
      <c r="F64" s="50"/>
      <c r="G64" s="50"/>
      <c r="H64" s="50"/>
      <c r="I64" s="50"/>
      <c r="J64" s="8"/>
      <c r="K64" s="50"/>
      <c r="L64" s="50"/>
      <c r="M64" s="50"/>
      <c r="N64" s="50"/>
      <c r="O64" s="50"/>
      <c r="P64" s="50"/>
      <c r="Q64" s="50"/>
      <c r="R64" s="50"/>
    </row>
  </sheetData>
  <mergeCells count="22">
    <mergeCell ref="B22:D22"/>
    <mergeCell ref="B15:C15"/>
    <mergeCell ref="B10:D10"/>
    <mergeCell ref="B11:C11"/>
    <mergeCell ref="B16:D16"/>
    <mergeCell ref="B17:C17"/>
    <mergeCell ref="B20:D20"/>
    <mergeCell ref="H2:I2"/>
    <mergeCell ref="B3:D5"/>
    <mergeCell ref="E3:E5"/>
    <mergeCell ref="F3:F5"/>
    <mergeCell ref="G3:G5"/>
    <mergeCell ref="H3:H5"/>
    <mergeCell ref="I3:I5"/>
    <mergeCell ref="B6:D6"/>
    <mergeCell ref="B12:D12"/>
    <mergeCell ref="B18:D18"/>
    <mergeCell ref="B7:C7"/>
    <mergeCell ref="B8:D8"/>
    <mergeCell ref="B9:C9"/>
    <mergeCell ref="B13:C13"/>
    <mergeCell ref="B14:D14"/>
  </mergeCells>
  <pageMargins left="0.19685039370078741" right="0.19685039370078741" top="0.39370078740157483" bottom="0.39370078740157483" header="0" footer="0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0AB9-779C-46D1-8469-7950D36C68F1}">
  <sheetPr>
    <tabColor theme="0" tint="-4.9989318521683403E-2"/>
    <pageSetUpPr fitToPage="1"/>
  </sheetPr>
  <dimension ref="A1:J56"/>
  <sheetViews>
    <sheetView topLeftCell="B13" zoomScaleNormal="100" workbookViewId="0">
      <selection activeCell="H4" sqref="H4"/>
    </sheetView>
  </sheetViews>
  <sheetFormatPr defaultColWidth="9.109375" defaultRowHeight="13.2" x14ac:dyDescent="0.25"/>
  <cols>
    <col min="1" max="1" width="35.33203125" style="206" hidden="1" customWidth="1"/>
    <col min="2" max="2" width="56.5546875" style="208" customWidth="1"/>
    <col min="3" max="3" width="16.77734375" style="204" customWidth="1"/>
    <col min="4" max="4" width="22.109375" style="208" customWidth="1"/>
    <col min="5" max="5" width="21" style="206" customWidth="1"/>
    <col min="6" max="6" width="21.21875" style="206" customWidth="1"/>
    <col min="7" max="7" width="17.44140625" style="206" customWidth="1"/>
    <col min="8" max="8" width="17" style="206" bestFit="1" customWidth="1"/>
    <col min="9" max="9" width="20.5546875" style="206" customWidth="1"/>
    <col min="10" max="16384" width="9.109375" style="206"/>
  </cols>
  <sheetData>
    <row r="1" spans="1:9" x14ac:dyDescent="0.25">
      <c r="A1" s="202"/>
      <c r="B1" s="203"/>
      <c r="C1" s="205"/>
    </row>
    <row r="2" spans="1:9" x14ac:dyDescent="0.25">
      <c r="A2" s="204"/>
      <c r="B2" s="803" t="s">
        <v>584</v>
      </c>
      <c r="C2" s="803"/>
      <c r="D2" s="228" t="s">
        <v>239</v>
      </c>
    </row>
    <row r="3" spans="1:9" ht="13.8" thickBot="1" x14ac:dyDescent="0.3">
      <c r="A3" s="802"/>
      <c r="B3" s="802"/>
      <c r="C3" s="202"/>
    </row>
    <row r="4" spans="1:9" ht="53.4" customHeight="1" thickBot="1" x14ac:dyDescent="0.3">
      <c r="A4" s="223" t="s">
        <v>232</v>
      </c>
      <c r="B4" s="323" t="s">
        <v>219</v>
      </c>
      <c r="C4" s="324" t="s">
        <v>644</v>
      </c>
      <c r="D4" s="324" t="s">
        <v>645</v>
      </c>
      <c r="E4" s="324" t="s">
        <v>654</v>
      </c>
      <c r="F4" s="324" t="s">
        <v>670</v>
      </c>
      <c r="G4" s="502" t="s">
        <v>701</v>
      </c>
      <c r="H4" s="502" t="s">
        <v>699</v>
      </c>
      <c r="I4" s="503" t="s">
        <v>700</v>
      </c>
    </row>
    <row r="5" spans="1:9" ht="15" thickTop="1" thickBot="1" x14ac:dyDescent="0.3">
      <c r="A5" s="226" t="s">
        <v>233</v>
      </c>
      <c r="B5" s="467" t="s">
        <v>220</v>
      </c>
      <c r="C5" s="468">
        <v>194258330</v>
      </c>
      <c r="D5" s="468">
        <v>194258330</v>
      </c>
      <c r="E5" s="468">
        <v>194258330</v>
      </c>
      <c r="F5" s="468">
        <v>194258330</v>
      </c>
      <c r="G5" s="605">
        <v>194258330</v>
      </c>
      <c r="H5" s="605">
        <v>194258330</v>
      </c>
      <c r="I5" s="605">
        <f>H5-G5</f>
        <v>0</v>
      </c>
    </row>
    <row r="6" spans="1:9" ht="14.4" thickBot="1" x14ac:dyDescent="0.3">
      <c r="A6" s="224" t="s">
        <v>233</v>
      </c>
      <c r="B6" s="469" t="s">
        <v>221</v>
      </c>
      <c r="C6" s="468">
        <v>40885110</v>
      </c>
      <c r="D6" s="468">
        <v>40885110</v>
      </c>
      <c r="E6" s="468">
        <v>40885110</v>
      </c>
      <c r="F6" s="468">
        <f>40885110-2053590</f>
        <v>38831520</v>
      </c>
      <c r="G6" s="605">
        <v>38831520</v>
      </c>
      <c r="H6" s="605">
        <v>38364795</v>
      </c>
      <c r="I6" s="605">
        <f t="shared" ref="I6:I19" si="0">H6-G6</f>
        <v>-466725</v>
      </c>
    </row>
    <row r="7" spans="1:9" ht="14.4" thickBot="1" x14ac:dyDescent="0.3">
      <c r="A7" s="224" t="s">
        <v>233</v>
      </c>
      <c r="B7" s="469" t="s">
        <v>222</v>
      </c>
      <c r="C7" s="468">
        <v>101830300</v>
      </c>
      <c r="D7" s="468">
        <v>101830300</v>
      </c>
      <c r="E7" s="468">
        <f>101830300-6266480</f>
        <v>95563820</v>
      </c>
      <c r="F7" s="468">
        <f>101830300-6266480</f>
        <v>95563820</v>
      </c>
      <c r="G7" s="605">
        <v>95563820</v>
      </c>
      <c r="H7" s="605">
        <v>95563820</v>
      </c>
      <c r="I7" s="605">
        <f t="shared" si="0"/>
        <v>0</v>
      </c>
    </row>
    <row r="8" spans="1:9" ht="14.4" thickBot="1" x14ac:dyDescent="0.3">
      <c r="A8" s="224" t="s">
        <v>233</v>
      </c>
      <c r="B8" s="469" t="s">
        <v>223</v>
      </c>
      <c r="C8" s="468">
        <v>14692720</v>
      </c>
      <c r="D8" s="468">
        <v>14692720</v>
      </c>
      <c r="E8" s="468">
        <f>14692720+3148440</f>
        <v>17841160</v>
      </c>
      <c r="F8" s="468">
        <f>14692720+3148440+524740</f>
        <v>18365900</v>
      </c>
      <c r="G8" s="605">
        <v>18365900</v>
      </c>
      <c r="H8" s="605">
        <v>18365900</v>
      </c>
      <c r="I8" s="605">
        <f t="shared" si="0"/>
        <v>0</v>
      </c>
    </row>
    <row r="9" spans="1:9" ht="14.4" thickBot="1" x14ac:dyDescent="0.3">
      <c r="A9" s="224" t="s">
        <v>233</v>
      </c>
      <c r="B9" s="467" t="s">
        <v>224</v>
      </c>
      <c r="C9" s="468">
        <v>63818110</v>
      </c>
      <c r="D9" s="468">
        <v>63818110</v>
      </c>
      <c r="E9" s="468">
        <f>63818110+2428920-3151300+3207150</f>
        <v>66302880</v>
      </c>
      <c r="F9" s="468">
        <f>63818110+2428920-3151300+3207150-1069050</f>
        <v>65233830</v>
      </c>
      <c r="G9" s="605">
        <v>65233830</v>
      </c>
      <c r="H9" s="605">
        <v>64019370</v>
      </c>
      <c r="I9" s="605">
        <f t="shared" si="0"/>
        <v>-1214460</v>
      </c>
    </row>
    <row r="10" spans="1:9" ht="14.4" thickBot="1" x14ac:dyDescent="0.3">
      <c r="A10" s="224" t="s">
        <v>233</v>
      </c>
      <c r="B10" s="469" t="s">
        <v>225</v>
      </c>
      <c r="C10" s="468">
        <v>15415560</v>
      </c>
      <c r="D10" s="468">
        <v>15415560</v>
      </c>
      <c r="E10" s="468">
        <f>'[1]Állami támogatások  (2)'!$E$10</f>
        <v>15415560</v>
      </c>
      <c r="F10" s="468">
        <f>'[1]Állami támogatások  (2)'!$E$10</f>
        <v>15415560</v>
      </c>
      <c r="G10" s="605">
        <v>15415560</v>
      </c>
      <c r="H10" s="605">
        <v>15415560</v>
      </c>
      <c r="I10" s="605">
        <f t="shared" si="0"/>
        <v>0</v>
      </c>
    </row>
    <row r="11" spans="1:9" ht="14.4" thickBot="1" x14ac:dyDescent="0.3">
      <c r="A11" s="224" t="s">
        <v>233</v>
      </c>
      <c r="B11" s="469" t="s">
        <v>226</v>
      </c>
      <c r="C11" s="468">
        <v>39680046</v>
      </c>
      <c r="D11" s="468">
        <v>39680046</v>
      </c>
      <c r="E11" s="468">
        <f>39680046-944763</f>
        <v>38735283</v>
      </c>
      <c r="F11" s="468">
        <f>39680046-944763+944763</f>
        <v>39680046</v>
      </c>
      <c r="G11" s="605">
        <v>39680046</v>
      </c>
      <c r="H11" s="605">
        <v>38735283</v>
      </c>
      <c r="I11" s="605">
        <f t="shared" si="0"/>
        <v>-944763</v>
      </c>
    </row>
    <row r="12" spans="1:9" ht="14.4" thickBot="1" x14ac:dyDescent="0.3">
      <c r="A12" s="224" t="s">
        <v>233</v>
      </c>
      <c r="B12" s="469" t="s">
        <v>227</v>
      </c>
      <c r="C12" s="468">
        <v>5668578</v>
      </c>
      <c r="D12" s="468">
        <v>5668578</v>
      </c>
      <c r="E12" s="468">
        <f>'[1]Állami támogatások  (2)'!$E$12</f>
        <v>5668578</v>
      </c>
      <c r="F12" s="468">
        <f>'[1]Állami támogatások  (2)'!$E$12</f>
        <v>5668578</v>
      </c>
      <c r="G12" s="605">
        <v>5668578</v>
      </c>
      <c r="H12" s="605">
        <v>5668578</v>
      </c>
      <c r="I12" s="605">
        <f t="shared" si="0"/>
        <v>0</v>
      </c>
    </row>
    <row r="13" spans="1:9" ht="27" thickBot="1" x14ac:dyDescent="0.3">
      <c r="A13" s="224" t="s">
        <v>233</v>
      </c>
      <c r="B13" s="467" t="s">
        <v>228</v>
      </c>
      <c r="C13" s="468">
        <v>13366900</v>
      </c>
      <c r="D13" s="468">
        <v>13366900</v>
      </c>
      <c r="E13" s="468">
        <f>'[1]Állami támogatások  (2)'!$E$13</f>
        <v>13366900</v>
      </c>
      <c r="F13" s="468">
        <f>'[1]Állami támogatások  (2)'!$E$13</f>
        <v>13366900</v>
      </c>
      <c r="G13" s="605">
        <v>13366900</v>
      </c>
      <c r="H13" s="605">
        <v>13366900</v>
      </c>
      <c r="I13" s="605">
        <f t="shared" si="0"/>
        <v>0</v>
      </c>
    </row>
    <row r="14" spans="1:9" ht="14.4" thickBot="1" x14ac:dyDescent="0.3">
      <c r="A14" s="224" t="s">
        <v>233</v>
      </c>
      <c r="B14" s="469" t="s">
        <v>229</v>
      </c>
      <c r="C14" s="468">
        <v>231964800</v>
      </c>
      <c r="D14" s="468">
        <v>231964800</v>
      </c>
      <c r="E14" s="468">
        <f>'[1]Állami támogatások  (2)'!$E$14</f>
        <v>231964800</v>
      </c>
      <c r="F14" s="468">
        <f>'[1]Állami támogatások  (2)'!$E$14</f>
        <v>231964800</v>
      </c>
      <c r="G14" s="605">
        <v>231964800</v>
      </c>
      <c r="H14" s="605">
        <v>246462600</v>
      </c>
      <c r="I14" s="605">
        <f t="shared" si="0"/>
        <v>14497800</v>
      </c>
    </row>
    <row r="15" spans="1:9" ht="14.4" thickBot="1" x14ac:dyDescent="0.3">
      <c r="A15" s="224" t="s">
        <v>233</v>
      </c>
      <c r="B15" s="467" t="s">
        <v>551</v>
      </c>
      <c r="C15" s="468">
        <v>80690178</v>
      </c>
      <c r="D15" s="468">
        <v>80690178</v>
      </c>
      <c r="E15" s="468">
        <f>80690178-1665263</f>
        <v>79024915</v>
      </c>
      <c r="F15" s="468">
        <f>80690178-1665263+3509303</f>
        <v>82534218</v>
      </c>
      <c r="G15" s="605">
        <v>82534218</v>
      </c>
      <c r="H15" s="605">
        <v>82534218</v>
      </c>
      <c r="I15" s="605">
        <f t="shared" si="0"/>
        <v>0</v>
      </c>
    </row>
    <row r="16" spans="1:9" ht="14.4" thickBot="1" x14ac:dyDescent="0.3">
      <c r="A16" s="227" t="s">
        <v>233</v>
      </c>
      <c r="B16" s="467" t="s">
        <v>230</v>
      </c>
      <c r="C16" s="468">
        <v>47808256</v>
      </c>
      <c r="D16" s="468">
        <v>47808256</v>
      </c>
      <c r="E16" s="468">
        <f>'[1]Állami támogatások  (2)'!$E$16</f>
        <v>47808256</v>
      </c>
      <c r="F16" s="468">
        <f>'[1]Állami támogatások  (2)'!$E$16</f>
        <v>47808256</v>
      </c>
      <c r="G16" s="605">
        <v>47808256</v>
      </c>
      <c r="H16" s="605">
        <v>47808256</v>
      </c>
      <c r="I16" s="605">
        <f t="shared" si="0"/>
        <v>0</v>
      </c>
    </row>
    <row r="17" spans="1:10" ht="15" thickTop="1" thickBot="1" x14ac:dyDescent="0.3">
      <c r="A17" s="466"/>
      <c r="B17" s="467" t="s">
        <v>646</v>
      </c>
      <c r="C17" s="468">
        <v>0</v>
      </c>
      <c r="D17" s="468">
        <v>43099779</v>
      </c>
      <c r="E17" s="468">
        <f>43099779+22149144</f>
        <v>65248923</v>
      </c>
      <c r="F17" s="468">
        <f>43099779+22149144+22154839</f>
        <v>87403762</v>
      </c>
      <c r="G17" s="605">
        <v>87403762</v>
      </c>
      <c r="H17" s="605">
        <v>87403762</v>
      </c>
      <c r="I17" s="605">
        <f t="shared" si="0"/>
        <v>0</v>
      </c>
    </row>
    <row r="18" spans="1:10" ht="14.4" thickBot="1" x14ac:dyDescent="0.3">
      <c r="A18" s="466"/>
      <c r="B18" s="467" t="s">
        <v>647</v>
      </c>
      <c r="C18" s="468">
        <v>0</v>
      </c>
      <c r="D18" s="468">
        <v>35888678</v>
      </c>
      <c r="E18" s="468">
        <f>35888678+17696484</f>
        <v>53585162</v>
      </c>
      <c r="F18" s="468">
        <f>35888678+17696484+17255870</f>
        <v>70841032</v>
      </c>
      <c r="G18" s="605">
        <v>70841032</v>
      </c>
      <c r="H18" s="605">
        <v>70841032</v>
      </c>
      <c r="I18" s="605">
        <f t="shared" si="0"/>
        <v>0</v>
      </c>
    </row>
    <row r="19" spans="1:10" ht="14.4" thickBot="1" x14ac:dyDescent="0.3">
      <c r="A19" s="466"/>
      <c r="B19" s="467" t="s">
        <v>648</v>
      </c>
      <c r="C19" s="468">
        <v>0</v>
      </c>
      <c r="D19" s="468">
        <v>1935366</v>
      </c>
      <c r="E19" s="468">
        <f>1935366+3642831</f>
        <v>5578197</v>
      </c>
      <c r="F19" s="468">
        <f>1935366+3642831+4353239</f>
        <v>9931436</v>
      </c>
      <c r="G19" s="605">
        <v>9931436</v>
      </c>
      <c r="H19" s="605">
        <v>9931436</v>
      </c>
      <c r="I19" s="605">
        <f t="shared" si="0"/>
        <v>0</v>
      </c>
    </row>
    <row r="20" spans="1:10" ht="14.4" thickBot="1" x14ac:dyDescent="0.3">
      <c r="A20" s="225"/>
      <c r="B20" s="325" t="s">
        <v>231</v>
      </c>
      <c r="C20" s="326">
        <f>SUM(C5:C19)</f>
        <v>850078888</v>
      </c>
      <c r="D20" s="326">
        <f>SUM(D5:D19)</f>
        <v>931002711</v>
      </c>
      <c r="E20" s="326">
        <f>SUM(E5:E19)</f>
        <v>971247874</v>
      </c>
      <c r="F20" s="326">
        <f>SUM(F5:F19)</f>
        <v>1016867988</v>
      </c>
      <c r="G20" s="326">
        <f t="shared" ref="G20:I20" si="1">SUM(G5:G19)</f>
        <v>1016867988</v>
      </c>
      <c r="H20" s="326">
        <f t="shared" si="1"/>
        <v>1028739840</v>
      </c>
      <c r="I20" s="326">
        <f t="shared" si="1"/>
        <v>11871852</v>
      </c>
    </row>
    <row r="21" spans="1:10" ht="14.4" thickBot="1" x14ac:dyDescent="0.3">
      <c r="A21" s="250"/>
      <c r="B21" s="470" t="s">
        <v>298</v>
      </c>
      <c r="C21" s="326">
        <v>271843251</v>
      </c>
      <c r="D21" s="326">
        <f>271843251+D18</f>
        <v>307731929</v>
      </c>
      <c r="E21" s="326">
        <f>D21+17696484-84674</f>
        <v>325343739</v>
      </c>
      <c r="F21" s="326">
        <f>325343739+178439+17255870</f>
        <v>342778048</v>
      </c>
      <c r="G21" s="606">
        <f>F21</f>
        <v>342778048</v>
      </c>
      <c r="H21" s="606">
        <f>342778048+4209040</f>
        <v>346987088</v>
      </c>
      <c r="I21" s="606">
        <v>4209040</v>
      </c>
    </row>
    <row r="22" spans="1:10" ht="14.4" thickBot="1" x14ac:dyDescent="0.3">
      <c r="A22" s="250"/>
      <c r="B22" s="327" t="s">
        <v>299</v>
      </c>
      <c r="C22" s="326">
        <v>578235637</v>
      </c>
      <c r="D22" s="326">
        <f>D20-D21</f>
        <v>623270782</v>
      </c>
      <c r="E22" s="326">
        <f>E20-E21</f>
        <v>645904135</v>
      </c>
      <c r="F22" s="326">
        <f>645904135-2053590+524740-1069050+944763+3330864+22154839+4353239</f>
        <v>674089940</v>
      </c>
      <c r="G22" s="606">
        <f>G20-G21</f>
        <v>674089940</v>
      </c>
      <c r="H22" s="606">
        <f>674089940-466725-1214460-944763+10288760</f>
        <v>681752752</v>
      </c>
      <c r="I22" s="606">
        <f>I6+I9+I11+10288760</f>
        <v>7662812</v>
      </c>
    </row>
    <row r="23" spans="1:10" x14ac:dyDescent="0.25">
      <c r="A23" s="204"/>
      <c r="B23" s="207"/>
    </row>
    <row r="24" spans="1:10" x14ac:dyDescent="0.25">
      <c r="A24" s="204"/>
      <c r="B24" s="207" t="s">
        <v>297</v>
      </c>
    </row>
    <row r="25" spans="1:10" s="204" customFormat="1" x14ac:dyDescent="0.25">
      <c r="B25" s="207"/>
      <c r="D25" s="208"/>
      <c r="E25" s="206"/>
      <c r="F25" s="206"/>
      <c r="G25" s="206"/>
      <c r="H25" s="206"/>
      <c r="I25" s="206"/>
      <c r="J25" s="206"/>
    </row>
    <row r="27" spans="1:10" x14ac:dyDescent="0.25">
      <c r="B27" s="806" t="s">
        <v>703</v>
      </c>
      <c r="C27" s="807"/>
      <c r="D27" s="613"/>
    </row>
    <row r="28" spans="1:10" x14ac:dyDescent="0.25">
      <c r="B28" s="474" t="s">
        <v>655</v>
      </c>
      <c r="C28" s="475">
        <v>-6266480</v>
      </c>
      <c r="D28" s="614"/>
    </row>
    <row r="29" spans="1:10" x14ac:dyDescent="0.25">
      <c r="B29" s="474" t="s">
        <v>656</v>
      </c>
      <c r="C29" s="475">
        <v>3148440</v>
      </c>
      <c r="D29" s="614"/>
    </row>
    <row r="30" spans="1:10" ht="26.4" x14ac:dyDescent="0.25">
      <c r="B30" s="476" t="s">
        <v>657</v>
      </c>
      <c r="C30" s="475">
        <v>2428920</v>
      </c>
      <c r="D30" s="614"/>
    </row>
    <row r="31" spans="1:10" ht="26.4" x14ac:dyDescent="0.25">
      <c r="B31" s="476" t="s">
        <v>658</v>
      </c>
      <c r="C31" s="475">
        <v>-3151300</v>
      </c>
      <c r="D31" s="614"/>
    </row>
    <row r="32" spans="1:10" x14ac:dyDescent="0.25">
      <c r="B32" s="474" t="s">
        <v>659</v>
      </c>
      <c r="C32" s="475">
        <v>3207150</v>
      </c>
      <c r="D32" s="614"/>
    </row>
    <row r="33" spans="2:4" x14ac:dyDescent="0.25">
      <c r="B33" s="474" t="s">
        <v>660</v>
      </c>
      <c r="C33" s="475">
        <v>-944763</v>
      </c>
      <c r="D33" s="615"/>
    </row>
    <row r="34" spans="2:4" ht="14.4" x14ac:dyDescent="0.3">
      <c r="B34" s="476" t="s">
        <v>661</v>
      </c>
      <c r="C34" s="477">
        <v>-1665263</v>
      </c>
      <c r="D34" s="616"/>
    </row>
    <row r="35" spans="2:4" ht="14.4" x14ac:dyDescent="0.3">
      <c r="B35" s="480" t="s">
        <v>664</v>
      </c>
      <c r="C35" s="666">
        <f>SUM(C28:C34)</f>
        <v>-3243296</v>
      </c>
      <c r="D35" s="616"/>
    </row>
    <row r="36" spans="2:4" x14ac:dyDescent="0.25">
      <c r="B36" s="478" t="s">
        <v>662</v>
      </c>
      <c r="C36" s="479">
        <v>-3158622</v>
      </c>
      <c r="D36" s="617"/>
    </row>
    <row r="37" spans="2:4" x14ac:dyDescent="0.25">
      <c r="B37" s="478" t="s">
        <v>663</v>
      </c>
      <c r="C37" s="479">
        <v>-84674</v>
      </c>
      <c r="D37" s="617"/>
    </row>
    <row r="40" spans="2:4" x14ac:dyDescent="0.25">
      <c r="B40" s="804" t="s">
        <v>704</v>
      </c>
      <c r="C40" s="805"/>
      <c r="D40" s="612"/>
    </row>
    <row r="41" spans="2:4" x14ac:dyDescent="0.25">
      <c r="B41" s="496" t="s">
        <v>221</v>
      </c>
      <c r="C41" s="497">
        <v>-2053590</v>
      </c>
    </row>
    <row r="42" spans="2:4" x14ac:dyDescent="0.25">
      <c r="B42" s="490" t="s">
        <v>673</v>
      </c>
      <c r="C42" s="491">
        <v>524740</v>
      </c>
    </row>
    <row r="43" spans="2:4" x14ac:dyDescent="0.25">
      <c r="B43" s="490" t="s">
        <v>674</v>
      </c>
      <c r="C43" s="491">
        <v>-1069050</v>
      </c>
    </row>
    <row r="44" spans="2:4" x14ac:dyDescent="0.25">
      <c r="B44" s="492" t="s">
        <v>675</v>
      </c>
      <c r="C44" s="491">
        <v>944763</v>
      </c>
    </row>
    <row r="45" spans="2:4" x14ac:dyDescent="0.25">
      <c r="B45" s="492" t="s">
        <v>676</v>
      </c>
      <c r="C45" s="491">
        <v>3509303</v>
      </c>
    </row>
    <row r="46" spans="2:4" x14ac:dyDescent="0.25">
      <c r="B46" s="495" t="s">
        <v>677</v>
      </c>
      <c r="C46" s="667">
        <f>SUM(C41:C45)</f>
        <v>1856166</v>
      </c>
    </row>
    <row r="47" spans="2:4" x14ac:dyDescent="0.25">
      <c r="B47" s="493" t="s">
        <v>662</v>
      </c>
      <c r="C47" s="494">
        <f>-1653137+3330864</f>
        <v>1677727</v>
      </c>
    </row>
    <row r="48" spans="2:4" x14ac:dyDescent="0.25">
      <c r="B48" s="493" t="s">
        <v>663</v>
      </c>
      <c r="C48" s="494">
        <v>178439</v>
      </c>
    </row>
    <row r="51" spans="2:5" x14ac:dyDescent="0.25">
      <c r="B51" s="607" t="s">
        <v>702</v>
      </c>
      <c r="C51" s="619" t="s">
        <v>38</v>
      </c>
      <c r="D51" s="618" t="s">
        <v>662</v>
      </c>
      <c r="E51" s="619" t="s">
        <v>983</v>
      </c>
    </row>
    <row r="52" spans="2:5" x14ac:dyDescent="0.25">
      <c r="B52" s="608" t="str">
        <f>B6</f>
        <v>Szociális étkeztetés</v>
      </c>
      <c r="C52" s="609">
        <f>I6</f>
        <v>-466725</v>
      </c>
      <c r="D52" s="620">
        <f>C52</f>
        <v>-466725</v>
      </c>
      <c r="E52" s="621">
        <v>0</v>
      </c>
    </row>
    <row r="53" spans="2:5" x14ac:dyDescent="0.25">
      <c r="B53" s="608" t="str">
        <f>B9</f>
        <v>Fogyatékos és demens személyek ell.</v>
      </c>
      <c r="C53" s="609">
        <f>I9</f>
        <v>-1214460</v>
      </c>
      <c r="D53" s="620">
        <f>C53</f>
        <v>-1214460</v>
      </c>
      <c r="E53" s="621">
        <v>0</v>
      </c>
    </row>
    <row r="54" spans="2:5" x14ac:dyDescent="0.25">
      <c r="B54" s="608" t="str">
        <f>B11</f>
        <v>Hajléktalanok átmeneti ellátása</v>
      </c>
      <c r="C54" s="609">
        <f>I11</f>
        <v>-944763</v>
      </c>
      <c r="D54" s="620">
        <f>C54</f>
        <v>-944763</v>
      </c>
      <c r="E54" s="621">
        <v>0</v>
      </c>
    </row>
    <row r="55" spans="2:5" x14ac:dyDescent="0.25">
      <c r="B55" s="608" t="str">
        <f>B14</f>
        <v>Bértámogatás szociális szféra</v>
      </c>
      <c r="C55" s="609">
        <f>I14</f>
        <v>14497800</v>
      </c>
      <c r="D55" s="622">
        <v>10288760</v>
      </c>
      <c r="E55" s="621">
        <v>4209040</v>
      </c>
    </row>
    <row r="56" spans="2:5" x14ac:dyDescent="0.25">
      <c r="B56" s="610" t="s">
        <v>984</v>
      </c>
      <c r="C56" s="611">
        <f>SUM(C52:C55)</f>
        <v>11871852</v>
      </c>
      <c r="D56" s="623">
        <f t="shared" ref="D56:E56" si="2">SUM(D52:D55)</f>
        <v>7662812</v>
      </c>
      <c r="E56" s="624">
        <f t="shared" si="2"/>
        <v>4209040</v>
      </c>
    </row>
  </sheetData>
  <mergeCells count="4">
    <mergeCell ref="A3:B3"/>
    <mergeCell ref="B2:C2"/>
    <mergeCell ref="B40:C40"/>
    <mergeCell ref="B27:C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C878-C705-4F19-92FF-C5F37C9C6674}">
  <sheetPr>
    <pageSetUpPr fitToPage="1"/>
  </sheetPr>
  <dimension ref="A1:AMJ43"/>
  <sheetViews>
    <sheetView topLeftCell="C10" zoomScale="95" zoomScaleNormal="95" workbookViewId="0">
      <selection activeCell="O29" sqref="O29"/>
    </sheetView>
  </sheetViews>
  <sheetFormatPr defaultColWidth="9.109375" defaultRowHeight="14.4" x14ac:dyDescent="0.3"/>
  <cols>
    <col min="1" max="1" width="42.88671875" style="232" customWidth="1"/>
    <col min="2" max="2" width="39.88671875" style="232" customWidth="1"/>
    <col min="3" max="3" width="21.109375" style="232" customWidth="1"/>
    <col min="4" max="4" width="20.5546875" style="232" bestFit="1" customWidth="1"/>
    <col min="5" max="5" width="18.6640625" style="232" customWidth="1"/>
    <col min="6" max="6" width="20.77734375" style="232" customWidth="1"/>
    <col min="7" max="7" width="20.6640625" style="471" bestFit="1" customWidth="1"/>
    <col min="8" max="8" width="10" style="232" customWidth="1"/>
    <col min="9" max="9" width="20" style="232" bestFit="1" customWidth="1"/>
    <col min="10" max="10" width="16.88671875" style="232" bestFit="1" customWidth="1"/>
    <col min="11" max="11" width="14.109375" style="232" customWidth="1"/>
    <col min="12" max="12" width="20.5546875" style="232" bestFit="1" customWidth="1"/>
    <col min="13" max="13" width="16.77734375" style="232" bestFit="1" customWidth="1"/>
    <col min="14" max="14" width="14.88671875" style="232" customWidth="1"/>
    <col min="15" max="15" width="20.5546875" style="232" bestFit="1" customWidth="1"/>
    <col min="16" max="16" width="16.77734375" style="232" bestFit="1" customWidth="1"/>
    <col min="17" max="17" width="15.44140625" style="232" customWidth="1"/>
    <col min="18" max="1024" width="10" style="232" customWidth="1"/>
    <col min="1025" max="1025" width="10.33203125" style="233" customWidth="1"/>
    <col min="1026" max="16384" width="9.109375" style="233"/>
  </cols>
  <sheetData>
    <row r="1" spans="1:17" x14ac:dyDescent="0.3">
      <c r="C1" s="251"/>
      <c r="D1" s="251" t="s">
        <v>336</v>
      </c>
    </row>
    <row r="2" spans="1:17" x14ac:dyDescent="0.3">
      <c r="A2" s="819" t="s">
        <v>300</v>
      </c>
      <c r="B2" s="819"/>
      <c r="C2" s="819"/>
    </row>
    <row r="3" spans="1:17" x14ac:dyDescent="0.3">
      <c r="A3" s="819" t="s">
        <v>705</v>
      </c>
      <c r="B3" s="819"/>
      <c r="C3" s="819"/>
    </row>
    <row r="5" spans="1:17" x14ac:dyDescent="0.3">
      <c r="A5" s="819" t="s">
        <v>301</v>
      </c>
      <c r="B5" s="819"/>
      <c r="C5" s="819"/>
    </row>
    <row r="6" spans="1:17" x14ac:dyDescent="0.3">
      <c r="A6" s="819" t="s">
        <v>302</v>
      </c>
      <c r="B6" s="819"/>
      <c r="C6" s="819"/>
    </row>
    <row r="7" spans="1:17" ht="36.6" customHeight="1" x14ac:dyDescent="0.3">
      <c r="C7" s="472" t="s">
        <v>649</v>
      </c>
      <c r="F7" s="472" t="s">
        <v>650</v>
      </c>
      <c r="I7" s="472" t="s">
        <v>666</v>
      </c>
      <c r="J7" s="471"/>
      <c r="L7" s="472" t="s">
        <v>669</v>
      </c>
      <c r="M7" s="471"/>
      <c r="O7" s="254" t="s">
        <v>701</v>
      </c>
      <c r="P7" s="471"/>
    </row>
    <row r="8" spans="1:17" x14ac:dyDescent="0.3">
      <c r="A8" s="251" t="s">
        <v>303</v>
      </c>
      <c r="B8" s="251" t="s">
        <v>304</v>
      </c>
      <c r="C8" s="251" t="s">
        <v>305</v>
      </c>
      <c r="F8" s="251" t="s">
        <v>305</v>
      </c>
      <c r="I8" s="251" t="s">
        <v>305</v>
      </c>
      <c r="J8" s="471"/>
      <c r="L8" s="251" t="s">
        <v>305</v>
      </c>
      <c r="M8" s="471"/>
      <c r="O8" s="251" t="s">
        <v>305</v>
      </c>
      <c r="P8" s="471"/>
    </row>
    <row r="9" spans="1:17" ht="51" customHeight="1" x14ac:dyDescent="0.35">
      <c r="A9" s="260" t="s">
        <v>306</v>
      </c>
      <c r="B9" s="252" t="s">
        <v>307</v>
      </c>
      <c r="C9" s="261">
        <f>'Állami támogatások '!C20</f>
        <v>850078888</v>
      </c>
      <c r="F9" s="261">
        <f>'Állami támogatások '!D20</f>
        <v>931002711</v>
      </c>
      <c r="G9" s="232"/>
      <c r="I9" s="261">
        <f>'Állami támogatások '!E20</f>
        <v>971247874</v>
      </c>
      <c r="L9" s="261">
        <f>'Állami támogatások '!F20</f>
        <v>1016867988</v>
      </c>
      <c r="O9" s="261">
        <f>848691758+1000</f>
        <v>848692758</v>
      </c>
    </row>
    <row r="10" spans="1:17" ht="29.4" x14ac:dyDescent="0.35">
      <c r="A10" s="252" t="s">
        <v>308</v>
      </c>
      <c r="B10" s="252" t="s">
        <v>309</v>
      </c>
      <c r="C10" s="261">
        <v>20892476</v>
      </c>
      <c r="D10" s="253"/>
      <c r="F10" s="261">
        <v>20892476</v>
      </c>
      <c r="G10" s="253"/>
      <c r="I10" s="261">
        <v>20892476</v>
      </c>
      <c r="J10" s="253"/>
      <c r="L10" s="261">
        <f>20892476+2753524</f>
        <v>23646000</v>
      </c>
      <c r="M10" s="253"/>
      <c r="O10" s="695">
        <f>20892476+2753524</f>
        <v>23646000</v>
      </c>
      <c r="P10" s="253"/>
    </row>
    <row r="11" spans="1:17" ht="29.4" x14ac:dyDescent="0.35">
      <c r="A11" s="252" t="s">
        <v>308</v>
      </c>
      <c r="B11" s="252" t="s">
        <v>310</v>
      </c>
      <c r="C11" s="262">
        <v>5420000</v>
      </c>
      <c r="D11" s="254"/>
      <c r="F11" s="262">
        <v>5420000</v>
      </c>
      <c r="G11" s="254"/>
      <c r="I11" s="262">
        <v>5420000</v>
      </c>
      <c r="J11" s="254"/>
      <c r="L11" s="262">
        <f>5420000+984000</f>
        <v>6404000</v>
      </c>
      <c r="M11" s="254"/>
      <c r="O11" s="694">
        <f>5420000+984000</f>
        <v>6404000</v>
      </c>
      <c r="P11" s="254"/>
    </row>
    <row r="12" spans="1:17" ht="29.4" x14ac:dyDescent="0.35">
      <c r="A12" s="252" t="s">
        <v>308</v>
      </c>
      <c r="B12" s="255" t="s">
        <v>311</v>
      </c>
      <c r="C12" s="263">
        <v>9421000</v>
      </c>
      <c r="D12" s="254"/>
      <c r="F12" s="263">
        <v>9421000</v>
      </c>
      <c r="G12" s="254"/>
      <c r="I12" s="263">
        <v>9421000</v>
      </c>
      <c r="J12" s="254"/>
      <c r="L12" s="263">
        <f>9421000+2023000</f>
        <v>11444000</v>
      </c>
      <c r="M12" s="254"/>
      <c r="O12" s="698">
        <f>9421000+2023000</f>
        <v>11444000</v>
      </c>
      <c r="P12" s="254"/>
    </row>
    <row r="13" spans="1:17" ht="43.8" x14ac:dyDescent="0.35">
      <c r="A13" s="252" t="s">
        <v>312</v>
      </c>
      <c r="B13" s="252" t="s">
        <v>313</v>
      </c>
      <c r="C13" s="264">
        <v>215813577</v>
      </c>
      <c r="D13" s="808">
        <f>SUM(C13:C15)</f>
        <v>305072522</v>
      </c>
      <c r="E13" s="811" t="s">
        <v>314</v>
      </c>
      <c r="F13" s="264">
        <v>215813577</v>
      </c>
      <c r="G13" s="808">
        <f>SUM(F13:F15)</f>
        <v>305072522</v>
      </c>
      <c r="H13" s="811" t="s">
        <v>314</v>
      </c>
      <c r="I13" s="264">
        <v>215813577</v>
      </c>
      <c r="J13" s="808">
        <f>SUM(I13:I15)</f>
        <v>305072522</v>
      </c>
      <c r="K13" s="811" t="s">
        <v>314</v>
      </c>
      <c r="L13" s="264">
        <v>215813577</v>
      </c>
      <c r="M13" s="808">
        <f>SUM(L13:L15)</f>
        <v>305072522</v>
      </c>
      <c r="N13" s="811" t="s">
        <v>314</v>
      </c>
      <c r="O13" s="696">
        <f>215813577-1387130</f>
        <v>214426447</v>
      </c>
      <c r="P13" s="808">
        <f>SUM(O13:O15)</f>
        <v>303685392</v>
      </c>
      <c r="Q13" s="811" t="s">
        <v>314</v>
      </c>
    </row>
    <row r="14" spans="1:17" ht="29.4" x14ac:dyDescent="0.35">
      <c r="A14" s="252" t="s">
        <v>312</v>
      </c>
      <c r="B14" s="252" t="s">
        <v>315</v>
      </c>
      <c r="C14" s="265">
        <v>4824005</v>
      </c>
      <c r="D14" s="809"/>
      <c r="E14" s="812"/>
      <c r="F14" s="265">
        <v>4824005</v>
      </c>
      <c r="G14" s="809"/>
      <c r="H14" s="812"/>
      <c r="I14" s="265">
        <v>4824005</v>
      </c>
      <c r="J14" s="809"/>
      <c r="K14" s="812"/>
      <c r="L14" s="265">
        <v>4824005</v>
      </c>
      <c r="M14" s="809"/>
      <c r="N14" s="812"/>
      <c r="O14" s="697">
        <v>4824005</v>
      </c>
      <c r="P14" s="809"/>
      <c r="Q14" s="812"/>
    </row>
    <row r="15" spans="1:17" ht="43.8" x14ac:dyDescent="0.35">
      <c r="A15" s="252" t="s">
        <v>312</v>
      </c>
      <c r="B15" s="252" t="s">
        <v>316</v>
      </c>
      <c r="C15" s="265">
        <v>84434940</v>
      </c>
      <c r="D15" s="810"/>
      <c r="E15" s="813"/>
      <c r="F15" s="265">
        <v>84434940</v>
      </c>
      <c r="G15" s="810"/>
      <c r="H15" s="813"/>
      <c r="I15" s="265">
        <v>84434940</v>
      </c>
      <c r="J15" s="810"/>
      <c r="K15" s="813"/>
      <c r="L15" s="265">
        <f>72611960+3195400+8627580</f>
        <v>84434940</v>
      </c>
      <c r="M15" s="810"/>
      <c r="N15" s="813"/>
      <c r="O15" s="697">
        <f>72611960+3195400+8627580</f>
        <v>84434940</v>
      </c>
      <c r="P15" s="810"/>
      <c r="Q15" s="813"/>
    </row>
    <row r="16" spans="1:17" ht="30.75" customHeight="1" x14ac:dyDescent="0.3">
      <c r="A16" s="252" t="s">
        <v>317</v>
      </c>
      <c r="B16" s="252" t="s">
        <v>318</v>
      </c>
      <c r="C16" s="817">
        <v>118881952</v>
      </c>
      <c r="D16" s="808">
        <f>C16+C18</f>
        <v>138236342</v>
      </c>
      <c r="E16" s="811" t="s">
        <v>319</v>
      </c>
      <c r="F16" s="817">
        <v>118881952</v>
      </c>
      <c r="G16" s="808">
        <f>F16+F18</f>
        <v>138236342</v>
      </c>
      <c r="H16" s="811" t="s">
        <v>319</v>
      </c>
      <c r="I16" s="817">
        <v>118881952</v>
      </c>
      <c r="J16" s="808">
        <f>I16+I18</f>
        <v>138236342</v>
      </c>
      <c r="K16" s="811" t="s">
        <v>319</v>
      </c>
      <c r="L16" s="817">
        <v>118881952</v>
      </c>
      <c r="M16" s="808">
        <f>L16+L18</f>
        <v>138236342</v>
      </c>
      <c r="N16" s="811" t="s">
        <v>319</v>
      </c>
      <c r="O16" s="814">
        <f>118881952-5</f>
        <v>118881947</v>
      </c>
      <c r="P16" s="808">
        <f>O16+O18</f>
        <v>138236337</v>
      </c>
      <c r="Q16" s="811" t="s">
        <v>319</v>
      </c>
    </row>
    <row r="17" spans="1:17" ht="30.75" customHeight="1" x14ac:dyDescent="0.3">
      <c r="A17" s="252" t="s">
        <v>317</v>
      </c>
      <c r="B17" s="252" t="s">
        <v>320</v>
      </c>
      <c r="C17" s="818"/>
      <c r="D17" s="809"/>
      <c r="E17" s="812"/>
      <c r="F17" s="818"/>
      <c r="G17" s="809"/>
      <c r="H17" s="812"/>
      <c r="I17" s="818"/>
      <c r="J17" s="809"/>
      <c r="K17" s="812"/>
      <c r="L17" s="818"/>
      <c r="M17" s="809"/>
      <c r="N17" s="812"/>
      <c r="O17" s="815"/>
      <c r="P17" s="809"/>
      <c r="Q17" s="812"/>
    </row>
    <row r="18" spans="1:17" ht="29.4" x14ac:dyDescent="0.35">
      <c r="A18" s="252" t="s">
        <v>321</v>
      </c>
      <c r="B18" s="252" t="s">
        <v>556</v>
      </c>
      <c r="C18" s="265">
        <v>19354390</v>
      </c>
      <c r="D18" s="810"/>
      <c r="E18" s="813"/>
      <c r="F18" s="265">
        <v>19354390</v>
      </c>
      <c r="G18" s="810"/>
      <c r="H18" s="813"/>
      <c r="I18" s="265">
        <v>19354390</v>
      </c>
      <c r="J18" s="810"/>
      <c r="K18" s="813"/>
      <c r="L18" s="265">
        <v>19354390</v>
      </c>
      <c r="M18" s="810"/>
      <c r="N18" s="813"/>
      <c r="O18" s="697">
        <v>19354390</v>
      </c>
      <c r="P18" s="810"/>
      <c r="Q18" s="813"/>
    </row>
    <row r="19" spans="1:17" ht="29.4" x14ac:dyDescent="0.35">
      <c r="A19" s="252" t="s">
        <v>322</v>
      </c>
      <c r="B19" s="252" t="s">
        <v>323</v>
      </c>
      <c r="C19" s="261">
        <v>85421500</v>
      </c>
      <c r="F19" s="261">
        <v>49532822</v>
      </c>
      <c r="G19" s="232"/>
      <c r="I19" s="261">
        <f>49532822-17696484-2873837</f>
        <v>28962501</v>
      </c>
      <c r="L19" s="261">
        <v>0</v>
      </c>
      <c r="O19" s="261">
        <v>70841032</v>
      </c>
    </row>
    <row r="20" spans="1:17" ht="29.4" x14ac:dyDescent="0.35">
      <c r="A20" s="252" t="s">
        <v>322</v>
      </c>
      <c r="B20" s="252" t="s">
        <v>324</v>
      </c>
      <c r="C20" s="261">
        <v>90556000</v>
      </c>
      <c r="F20" s="261">
        <v>47456221</v>
      </c>
      <c r="G20" s="232"/>
      <c r="I20" s="261">
        <f>47456221-22149144</f>
        <v>25307077</v>
      </c>
      <c r="L20" s="261">
        <v>0</v>
      </c>
      <c r="O20" s="261">
        <v>87403762</v>
      </c>
    </row>
    <row r="21" spans="1:17" ht="29.4" x14ac:dyDescent="0.35">
      <c r="A21" s="252" t="s">
        <v>322</v>
      </c>
      <c r="B21" s="252" t="s">
        <v>325</v>
      </c>
      <c r="C21" s="261">
        <v>0</v>
      </c>
      <c r="F21" s="261">
        <v>0</v>
      </c>
      <c r="G21" s="232"/>
      <c r="I21" s="261">
        <v>0</v>
      </c>
      <c r="L21" s="261">
        <v>0</v>
      </c>
      <c r="O21" s="261">
        <v>0</v>
      </c>
    </row>
    <row r="22" spans="1:17" ht="29.4" x14ac:dyDescent="0.35">
      <c r="A22" s="252" t="s">
        <v>322</v>
      </c>
      <c r="B22" s="252" t="s">
        <v>326</v>
      </c>
      <c r="C22" s="261">
        <v>2704360</v>
      </c>
      <c r="F22" s="261">
        <v>768994</v>
      </c>
      <c r="G22" s="232"/>
      <c r="I22" s="261">
        <f>768994-3642831+2873837</f>
        <v>0</v>
      </c>
      <c r="L22" s="261">
        <f>768994-3642831+2873837</f>
        <v>0</v>
      </c>
      <c r="O22" s="261">
        <v>9931436</v>
      </c>
    </row>
    <row r="23" spans="1:17" ht="58.2" x14ac:dyDescent="0.35">
      <c r="A23" s="252" t="s">
        <v>312</v>
      </c>
      <c r="B23" s="252" t="s">
        <v>651</v>
      </c>
      <c r="C23" s="261">
        <v>0</v>
      </c>
      <c r="F23" s="261">
        <v>75499759</v>
      </c>
      <c r="G23" s="232"/>
      <c r="I23" s="261">
        <v>75499759</v>
      </c>
      <c r="L23" s="261">
        <v>75499759</v>
      </c>
      <c r="O23" s="695">
        <v>75499759</v>
      </c>
    </row>
    <row r="24" spans="1:17" ht="58.2" x14ac:dyDescent="0.35">
      <c r="A24" s="252" t="s">
        <v>312</v>
      </c>
      <c r="B24" s="252" t="s">
        <v>652</v>
      </c>
      <c r="C24" s="261">
        <v>0</v>
      </c>
      <c r="F24" s="261">
        <v>35454887</v>
      </c>
      <c r="G24" s="232"/>
      <c r="I24" s="261">
        <v>35454887</v>
      </c>
      <c r="L24" s="261">
        <v>35454887</v>
      </c>
      <c r="O24" s="695">
        <v>35454887</v>
      </c>
    </row>
    <row r="25" spans="1:17" ht="29.4" x14ac:dyDescent="0.35">
      <c r="A25" s="488" t="s">
        <v>671</v>
      </c>
      <c r="B25" s="252" t="s">
        <v>672</v>
      </c>
      <c r="C25" s="261">
        <v>0</v>
      </c>
      <c r="F25" s="261">
        <v>0</v>
      </c>
      <c r="G25" s="232"/>
      <c r="I25" s="261">
        <v>0</v>
      </c>
      <c r="L25" s="261">
        <v>1000000</v>
      </c>
      <c r="O25" s="695">
        <v>3173400</v>
      </c>
    </row>
    <row r="26" spans="1:17" ht="18" x14ac:dyDescent="0.35">
      <c r="A26" s="488" t="s">
        <v>1028</v>
      </c>
      <c r="B26" s="252" t="s">
        <v>985</v>
      </c>
      <c r="C26" s="261">
        <v>0</v>
      </c>
      <c r="F26" s="261">
        <v>0</v>
      </c>
      <c r="G26" s="232"/>
      <c r="I26" s="261">
        <v>0</v>
      </c>
      <c r="L26" s="261">
        <v>0</v>
      </c>
      <c r="O26" s="695">
        <v>271517</v>
      </c>
    </row>
    <row r="27" spans="1:17" ht="43.8" x14ac:dyDescent="0.35">
      <c r="A27" s="488" t="s">
        <v>312</v>
      </c>
      <c r="B27" s="252" t="s">
        <v>986</v>
      </c>
      <c r="C27" s="261">
        <v>0</v>
      </c>
      <c r="F27" s="261">
        <v>0</v>
      </c>
      <c r="G27" s="232"/>
      <c r="I27" s="261">
        <v>0</v>
      </c>
      <c r="L27" s="261">
        <v>0</v>
      </c>
      <c r="O27" s="695">
        <v>1615000</v>
      </c>
    </row>
    <row r="28" spans="1:17" ht="29.4" x14ac:dyDescent="0.35">
      <c r="A28" s="488" t="s">
        <v>312</v>
      </c>
      <c r="B28" s="252" t="s">
        <v>987</v>
      </c>
      <c r="C28" s="261">
        <v>0</v>
      </c>
      <c r="F28" s="261">
        <v>0</v>
      </c>
      <c r="G28" s="232"/>
      <c r="I28" s="261">
        <v>0</v>
      </c>
      <c r="L28" s="261">
        <v>0</v>
      </c>
      <c r="O28" s="695">
        <v>1800000</v>
      </c>
    </row>
    <row r="29" spans="1:17" ht="43.8" x14ac:dyDescent="0.35">
      <c r="A29" s="488" t="s">
        <v>247</v>
      </c>
      <c r="B29" s="252" t="s">
        <v>988</v>
      </c>
      <c r="C29" s="261">
        <v>0</v>
      </c>
      <c r="F29" s="261">
        <v>0</v>
      </c>
      <c r="G29" s="232"/>
      <c r="I29" s="261">
        <v>0</v>
      </c>
      <c r="L29" s="261">
        <v>0</v>
      </c>
      <c r="O29" s="261">
        <v>7774362</v>
      </c>
    </row>
    <row r="30" spans="1:17" ht="18" x14ac:dyDescent="0.35">
      <c r="A30" s="256" t="s">
        <v>51</v>
      </c>
      <c r="B30" s="257"/>
      <c r="C30" s="266">
        <f>SUM(C9:C22)</f>
        <v>1507803088</v>
      </c>
      <c r="F30" s="266">
        <f>SUM(F9:F24)</f>
        <v>1618757734</v>
      </c>
      <c r="G30" s="232"/>
      <c r="I30" s="266">
        <f>SUM(I9:I24)</f>
        <v>1615514438</v>
      </c>
      <c r="L30" s="266">
        <f>SUM(L9:L25)</f>
        <v>1613625498</v>
      </c>
      <c r="O30" s="266">
        <f>SUM(O9:O29)</f>
        <v>1625873642</v>
      </c>
    </row>
    <row r="31" spans="1:17" x14ac:dyDescent="0.3">
      <c r="B31" s="258" t="s">
        <v>196</v>
      </c>
      <c r="L31" s="489">
        <v>1613625498</v>
      </c>
      <c r="O31" s="471"/>
    </row>
    <row r="33" spans="1:7" x14ac:dyDescent="0.3">
      <c r="A33" s="819" t="s">
        <v>327</v>
      </c>
      <c r="B33" s="819"/>
      <c r="C33" s="819"/>
    </row>
    <row r="34" spans="1:7" x14ac:dyDescent="0.3">
      <c r="A34" s="819" t="s">
        <v>302</v>
      </c>
      <c r="B34" s="819"/>
      <c r="C34" s="819"/>
    </row>
    <row r="35" spans="1:7" ht="43.2" x14ac:dyDescent="0.3">
      <c r="C35" s="254" t="s">
        <v>649</v>
      </c>
      <c r="D35" s="254" t="s">
        <v>650</v>
      </c>
      <c r="E35" s="254" t="s">
        <v>666</v>
      </c>
      <c r="F35" s="254" t="s">
        <v>669</v>
      </c>
      <c r="G35" s="647" t="s">
        <v>1018</v>
      </c>
    </row>
    <row r="36" spans="1:7" x14ac:dyDescent="0.3">
      <c r="A36" s="251" t="s">
        <v>328</v>
      </c>
      <c r="B36" s="251" t="s">
        <v>329</v>
      </c>
      <c r="C36" s="816" t="s">
        <v>330</v>
      </c>
      <c r="D36" s="816"/>
      <c r="E36" s="816"/>
    </row>
    <row r="37" spans="1:7" ht="18" x14ac:dyDescent="0.35">
      <c r="A37" s="252" t="s">
        <v>331</v>
      </c>
      <c r="B37" s="252" t="s">
        <v>332</v>
      </c>
      <c r="C37" s="259">
        <v>3600000</v>
      </c>
      <c r="D37" s="259">
        <v>3600000</v>
      </c>
      <c r="E37" s="259">
        <f>[2]Társulás!$G$41</f>
        <v>3600000</v>
      </c>
      <c r="F37" s="648">
        <f>[2]Társulás!$G$41</f>
        <v>3600000</v>
      </c>
      <c r="G37" s="655">
        <v>3600000</v>
      </c>
    </row>
    <row r="38" spans="1:7" ht="18" x14ac:dyDescent="0.35">
      <c r="A38" s="252" t="s">
        <v>333</v>
      </c>
      <c r="B38" s="252" t="s">
        <v>334</v>
      </c>
      <c r="C38" s="259">
        <v>850000</v>
      </c>
      <c r="D38" s="259">
        <v>850000</v>
      </c>
      <c r="E38" s="259">
        <v>850000</v>
      </c>
      <c r="F38" s="648">
        <v>850000</v>
      </c>
      <c r="G38" s="655">
        <v>850000</v>
      </c>
    </row>
    <row r="39" spans="1:7" ht="43.8" x14ac:dyDescent="0.35">
      <c r="A39" s="649" t="s">
        <v>306</v>
      </c>
      <c r="B39" s="649" t="s">
        <v>585</v>
      </c>
      <c r="C39" s="650">
        <f>[1]Társulás!$I$21-C37</f>
        <v>10600000</v>
      </c>
      <c r="D39" s="650">
        <v>10700000</v>
      </c>
      <c r="E39" s="650">
        <v>10700000</v>
      </c>
      <c r="F39" s="651">
        <v>10700000</v>
      </c>
      <c r="G39" s="655">
        <f>7770620+3742+4476</f>
        <v>7778838</v>
      </c>
    </row>
    <row r="40" spans="1:7" ht="18" x14ac:dyDescent="0.35">
      <c r="A40" s="652" t="s">
        <v>51</v>
      </c>
      <c r="B40" s="653"/>
      <c r="C40" s="654">
        <f>SUM(C36:C39)</f>
        <v>15050000</v>
      </c>
      <c r="D40" s="654">
        <f>SUM(D36:D39)</f>
        <v>15150000</v>
      </c>
      <c r="E40" s="654">
        <f>SUM(E36:E39)</f>
        <v>15150000</v>
      </c>
      <c r="F40" s="654">
        <f>SUM(F36:F39)</f>
        <v>15150000</v>
      </c>
      <c r="G40" s="656">
        <f>SUM(G37:G39)</f>
        <v>12228838</v>
      </c>
    </row>
    <row r="41" spans="1:7" x14ac:dyDescent="0.3">
      <c r="B41" s="258" t="s">
        <v>335</v>
      </c>
    </row>
    <row r="43" spans="1:7" s="232" customFormat="1" x14ac:dyDescent="0.3">
      <c r="A43" s="8"/>
      <c r="G43" s="471"/>
    </row>
  </sheetData>
  <mergeCells count="32">
    <mergeCell ref="K16:K18"/>
    <mergeCell ref="M13:M15"/>
    <mergeCell ref="H13:H15"/>
    <mergeCell ref="N13:N15"/>
    <mergeCell ref="L16:L17"/>
    <mergeCell ref="M16:M18"/>
    <mergeCell ref="N16:N18"/>
    <mergeCell ref="K13:K15"/>
    <mergeCell ref="F16:F17"/>
    <mergeCell ref="G16:G18"/>
    <mergeCell ref="H16:H18"/>
    <mergeCell ref="J13:J15"/>
    <mergeCell ref="A2:C2"/>
    <mergeCell ref="A3:C3"/>
    <mergeCell ref="A5:C5"/>
    <mergeCell ref="A6:C6"/>
    <mergeCell ref="G13:G15"/>
    <mergeCell ref="I16:I17"/>
    <mergeCell ref="J16:J18"/>
    <mergeCell ref="C36:E36"/>
    <mergeCell ref="E13:E15"/>
    <mergeCell ref="C16:C17"/>
    <mergeCell ref="D16:D18"/>
    <mergeCell ref="E16:E18"/>
    <mergeCell ref="A33:C33"/>
    <mergeCell ref="D13:D15"/>
    <mergeCell ref="A34:C34"/>
    <mergeCell ref="P13:P15"/>
    <mergeCell ref="Q13:Q15"/>
    <mergeCell ref="O16:O17"/>
    <mergeCell ref="P16:P18"/>
    <mergeCell ref="Q16:Q18"/>
  </mergeCells>
  <pageMargins left="0.75984251968503913" right="0.70000000000000007" top="0.85354330708661408" bottom="0.74370078740157508" header="0.45984251968503903" footer="0.35000000000000003"/>
  <pageSetup paperSize="8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87"/>
  <sheetViews>
    <sheetView zoomScaleNormal="100" workbookViewId="0">
      <selection activeCell="B16" sqref="B16"/>
    </sheetView>
  </sheetViews>
  <sheetFormatPr defaultRowHeight="13.2" x14ac:dyDescent="0.25"/>
  <cols>
    <col min="1" max="1" width="15.5546875" customWidth="1"/>
    <col min="2" max="2" width="40.88671875" customWidth="1"/>
    <col min="3" max="3" width="17.77734375" customWidth="1"/>
    <col min="4" max="4" width="19.21875" style="216" hidden="1" customWidth="1"/>
    <col min="5" max="5" width="18.33203125" style="8" hidden="1" customWidth="1"/>
    <col min="6" max="6" width="18.21875" style="8" customWidth="1"/>
    <col min="7" max="7" width="17.33203125" style="8" customWidth="1"/>
    <col min="8" max="8" width="17.77734375" style="8" customWidth="1"/>
    <col min="9" max="10" width="18.88671875" bestFit="1" customWidth="1"/>
    <col min="11" max="11" width="16.21875" bestFit="1" customWidth="1"/>
  </cols>
  <sheetData>
    <row r="1" spans="1:20" ht="15.6" x14ac:dyDescent="0.25">
      <c r="A1" s="821" t="s">
        <v>534</v>
      </c>
      <c r="B1" s="821"/>
      <c r="C1" s="821"/>
      <c r="D1" s="821"/>
      <c r="E1" s="821"/>
      <c r="H1" s="29" t="s">
        <v>205</v>
      </c>
    </row>
    <row r="2" spans="1:20" ht="35.549999999999997" customHeight="1" x14ac:dyDescent="0.25">
      <c r="A2" s="820" t="s">
        <v>1020</v>
      </c>
      <c r="B2" s="820"/>
      <c r="C2" s="820"/>
      <c r="D2" s="668"/>
      <c r="E2" s="668"/>
    </row>
    <row r="3" spans="1:20" ht="15.6" x14ac:dyDescent="0.25">
      <c r="A3" s="669"/>
      <c r="B3" s="669"/>
      <c r="C3" s="669"/>
      <c r="D3" s="668"/>
      <c r="E3" s="668"/>
    </row>
    <row r="4" spans="1:20" ht="15.6" x14ac:dyDescent="0.25">
      <c r="A4" s="179"/>
      <c r="B4" s="179" t="s">
        <v>668</v>
      </c>
      <c r="C4" s="179"/>
    </row>
    <row r="5" spans="1:20" ht="13.8" thickBot="1" x14ac:dyDescent="0.3">
      <c r="A5" s="8"/>
      <c r="B5" s="8"/>
      <c r="E5" s="216"/>
      <c r="F5" s="216" t="s">
        <v>665</v>
      </c>
    </row>
    <row r="6" spans="1:20" ht="43.5" customHeight="1" thickBot="1" x14ac:dyDescent="0.3">
      <c r="A6" s="39" t="s">
        <v>46</v>
      </c>
      <c r="B6" s="39" t="s">
        <v>47</v>
      </c>
      <c r="C6" s="473" t="s">
        <v>616</v>
      </c>
      <c r="D6" s="473" t="s">
        <v>617</v>
      </c>
      <c r="E6" s="473" t="s">
        <v>653</v>
      </c>
      <c r="F6" s="473" t="s">
        <v>667</v>
      </c>
      <c r="G6" s="603" t="s">
        <v>697</v>
      </c>
      <c r="H6" s="603" t="s">
        <v>698</v>
      </c>
      <c r="I6" s="670" t="s">
        <v>972</v>
      </c>
      <c r="J6" s="671" t="s">
        <v>973</v>
      </c>
      <c r="K6" s="671" t="s">
        <v>974</v>
      </c>
      <c r="L6" s="8"/>
      <c r="M6" s="8"/>
      <c r="N6" s="8"/>
      <c r="O6" s="8"/>
      <c r="P6" s="8"/>
      <c r="Q6" s="8"/>
      <c r="R6" s="8"/>
      <c r="S6" s="8"/>
      <c r="T6" s="8"/>
    </row>
    <row r="7" spans="1:20" ht="13.8" x14ac:dyDescent="0.25">
      <c r="A7" s="40" t="s">
        <v>91</v>
      </c>
      <c r="B7" s="41" t="s">
        <v>247</v>
      </c>
      <c r="C7" s="243">
        <f>'Működési kiadások'!M59+'Felhalmozási kiadások'!I7</f>
        <v>1640962143</v>
      </c>
      <c r="D7" s="243">
        <v>1644534760</v>
      </c>
      <c r="E7" s="243">
        <v>1722338837</v>
      </c>
      <c r="F7" s="243">
        <v>1736219559</v>
      </c>
      <c r="G7" s="640">
        <f>'Működési bevételek'!L10+'Felhalmozási bevételek'!L8</f>
        <v>1594491367</v>
      </c>
      <c r="H7" s="640">
        <f>'Működési kiadások'!M10+'Felhalmozási kiadások'!I11</f>
        <v>1496466452</v>
      </c>
      <c r="I7" s="672">
        <v>1496466452</v>
      </c>
      <c r="J7" s="673">
        <f>460554221+1133937146</f>
        <v>1594491367</v>
      </c>
      <c r="K7" s="674">
        <f>J7-I7</f>
        <v>98024915</v>
      </c>
      <c r="L7" s="8"/>
      <c r="M7" s="8"/>
      <c r="N7" s="8"/>
      <c r="O7" s="8"/>
      <c r="P7" s="8"/>
      <c r="Q7" s="8"/>
      <c r="R7" s="8"/>
      <c r="S7" s="8"/>
      <c r="T7" s="8"/>
    </row>
    <row r="8" spans="1:20" ht="13.8" x14ac:dyDescent="0.25">
      <c r="A8" s="42" t="s">
        <v>92</v>
      </c>
      <c r="B8" s="82" t="s">
        <v>251</v>
      </c>
      <c r="C8" s="209">
        <f>'Működési kiadások'!M12+'Felhalmozási kiadások'!I13</f>
        <v>458666969</v>
      </c>
      <c r="D8" s="209">
        <v>459840900</v>
      </c>
      <c r="E8" s="209">
        <v>497807463</v>
      </c>
      <c r="F8" s="209">
        <v>484958004</v>
      </c>
      <c r="G8" s="641">
        <f>'Működési bevételek'!L16+'Felhalmozási bevételek'!L11</f>
        <v>466396218</v>
      </c>
      <c r="H8" s="641">
        <f>'Működési kiadások'!M16+'Felhalmozási kiadások'!I17</f>
        <v>454237497</v>
      </c>
      <c r="I8" s="672">
        <v>454237497</v>
      </c>
      <c r="J8" s="673">
        <f>10059548+456336670</f>
        <v>466396218</v>
      </c>
      <c r="K8" s="674">
        <f t="shared" ref="K8:K10" si="0">J8-I8</f>
        <v>12158721</v>
      </c>
      <c r="L8" s="8"/>
      <c r="M8" s="8"/>
      <c r="N8" s="8"/>
      <c r="O8" s="8"/>
      <c r="P8" s="8"/>
      <c r="Q8" s="8"/>
      <c r="R8" s="8"/>
      <c r="S8" s="8"/>
      <c r="T8" s="8"/>
    </row>
    <row r="9" spans="1:20" ht="14.4" thickBot="1" x14ac:dyDescent="0.3">
      <c r="A9" s="42" t="s">
        <v>252</v>
      </c>
      <c r="B9" s="43" t="s">
        <v>253</v>
      </c>
      <c r="C9" s="209">
        <f>'Működési kiadások'!M41+'Felhalmozási kiadások'!I27</f>
        <v>263033975</v>
      </c>
      <c r="D9" s="209">
        <v>420677793</v>
      </c>
      <c r="E9" s="209">
        <v>301663857</v>
      </c>
      <c r="F9" s="209">
        <v>298743654</v>
      </c>
      <c r="G9" s="642">
        <f>'Működési bevételek'!L30+'Felhalmozási bevételek'!L14</f>
        <v>433769087</v>
      </c>
      <c r="H9" s="643">
        <f>+'Működési kiadások'!M97+'Felhalmozási kiadások'!I23</f>
        <v>47568120</v>
      </c>
      <c r="I9" s="672">
        <f>47568120+1506178551-1506178551</f>
        <v>47568120</v>
      </c>
      <c r="J9" s="673">
        <f>1669607184+270340454-1506178551</f>
        <v>433769087</v>
      </c>
      <c r="K9" s="674">
        <f t="shared" si="0"/>
        <v>386200967</v>
      </c>
      <c r="L9" s="8"/>
      <c r="M9" s="8"/>
      <c r="N9" s="8"/>
      <c r="O9" s="8"/>
      <c r="P9" s="8"/>
      <c r="Q9" s="8"/>
      <c r="R9" s="8"/>
      <c r="S9" s="8"/>
      <c r="T9" s="8"/>
    </row>
    <row r="10" spans="1:20" ht="16.2" thickBot="1" x14ac:dyDescent="0.35">
      <c r="A10" s="678" t="s">
        <v>254</v>
      </c>
      <c r="B10" s="679"/>
      <c r="C10" s="680">
        <f t="shared" ref="C10:J10" si="1">SUM(C7:C9)</f>
        <v>2362663087</v>
      </c>
      <c r="D10" s="680">
        <f t="shared" si="1"/>
        <v>2525053453</v>
      </c>
      <c r="E10" s="680">
        <f t="shared" si="1"/>
        <v>2521810157</v>
      </c>
      <c r="F10" s="680">
        <f t="shared" si="1"/>
        <v>2519921217</v>
      </c>
      <c r="G10" s="681">
        <f t="shared" si="1"/>
        <v>2494656672</v>
      </c>
      <c r="H10" s="681">
        <f t="shared" si="1"/>
        <v>1998272069</v>
      </c>
      <c r="I10" s="675">
        <f t="shared" si="1"/>
        <v>1998272069</v>
      </c>
      <c r="J10" s="676">
        <f t="shared" si="1"/>
        <v>2494656672</v>
      </c>
      <c r="K10" s="674">
        <f t="shared" si="0"/>
        <v>496384603</v>
      </c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8"/>
      <c r="B11" s="8"/>
      <c r="C11" s="8"/>
      <c r="F11" s="62"/>
      <c r="I11" s="216"/>
      <c r="J11" s="216"/>
      <c r="K11" s="216"/>
    </row>
    <row r="12" spans="1:20" x14ac:dyDescent="0.25">
      <c r="A12" s="8"/>
      <c r="B12" s="8"/>
      <c r="C12" s="8"/>
      <c r="I12" s="216"/>
      <c r="J12" s="216"/>
      <c r="K12" s="216"/>
    </row>
    <row r="13" spans="1:20" x14ac:dyDescent="0.25">
      <c r="A13" s="8"/>
      <c r="B13" s="8"/>
      <c r="C13" s="8"/>
      <c r="D13" s="212"/>
      <c r="I13" s="677">
        <f>1998272069+1506178551</f>
        <v>3504450620</v>
      </c>
      <c r="J13" s="677">
        <f>2140220953+1860614270</f>
        <v>4000835223</v>
      </c>
      <c r="K13" s="677">
        <f>J13-I13</f>
        <v>496384603</v>
      </c>
    </row>
    <row r="14" spans="1:20" x14ac:dyDescent="0.25">
      <c r="A14" s="8"/>
      <c r="B14" s="8"/>
      <c r="C14" s="62"/>
      <c r="D14" s="8"/>
      <c r="F14" s="501"/>
      <c r="I14" s="216"/>
      <c r="J14" s="216"/>
      <c r="K14" s="216"/>
    </row>
    <row r="15" spans="1:20" x14ac:dyDescent="0.25">
      <c r="A15" s="8"/>
      <c r="B15" s="8"/>
      <c r="C15" s="212"/>
      <c r="D15" s="8"/>
      <c r="F15" s="501"/>
      <c r="H15" s="216" t="s">
        <v>982</v>
      </c>
      <c r="I15" s="677">
        <v>1506178551</v>
      </c>
      <c r="J15" s="216"/>
      <c r="K15" s="216"/>
    </row>
    <row r="16" spans="1:20" x14ac:dyDescent="0.25">
      <c r="A16" s="8"/>
      <c r="B16" s="8"/>
      <c r="C16" s="8"/>
      <c r="D16" s="8"/>
      <c r="F16" s="501"/>
    </row>
    <row r="17" spans="1:6" x14ac:dyDescent="0.25">
      <c r="A17" s="8"/>
      <c r="B17" s="8"/>
      <c r="C17" s="212"/>
      <c r="D17" s="8"/>
      <c r="F17" s="501"/>
    </row>
    <row r="18" spans="1:6" x14ac:dyDescent="0.25">
      <c r="A18" s="8"/>
      <c r="B18" s="8"/>
      <c r="C18" s="212"/>
      <c r="D18" s="8"/>
    </row>
    <row r="19" spans="1:6" x14ac:dyDescent="0.25">
      <c r="A19" s="8"/>
      <c r="B19" s="8"/>
      <c r="C19" s="212"/>
      <c r="D19" s="8"/>
    </row>
    <row r="20" spans="1:6" x14ac:dyDescent="0.25">
      <c r="A20" s="8"/>
      <c r="B20" s="8"/>
      <c r="C20" s="8"/>
      <c r="D20" s="8"/>
    </row>
    <row r="21" spans="1:6" x14ac:dyDescent="0.25">
      <c r="A21" s="8"/>
      <c r="B21" s="8"/>
      <c r="C21" s="8"/>
      <c r="D21" s="8"/>
    </row>
    <row r="22" spans="1:6" x14ac:dyDescent="0.25">
      <c r="A22" s="8"/>
      <c r="B22" s="8"/>
      <c r="C22" s="8"/>
      <c r="D22" s="8"/>
    </row>
    <row r="23" spans="1:6" x14ac:dyDescent="0.25">
      <c r="A23" s="8"/>
      <c r="B23" s="8"/>
      <c r="C23" s="8"/>
      <c r="D23" s="8"/>
    </row>
    <row r="24" spans="1:6" x14ac:dyDescent="0.25">
      <c r="A24" s="8"/>
      <c r="B24" s="8"/>
      <c r="C24" s="8"/>
      <c r="D24" s="8"/>
    </row>
    <row r="25" spans="1:6" x14ac:dyDescent="0.25">
      <c r="A25" s="8"/>
      <c r="B25" s="8"/>
      <c r="C25" s="8"/>
    </row>
    <row r="26" spans="1:6" x14ac:dyDescent="0.25">
      <c r="A26" s="8"/>
      <c r="B26" s="8"/>
      <c r="C26" s="8"/>
    </row>
    <row r="27" spans="1:6" x14ac:dyDescent="0.25">
      <c r="A27" s="8"/>
      <c r="B27" s="8"/>
      <c r="C27" s="8"/>
    </row>
    <row r="28" spans="1:6" x14ac:dyDescent="0.25">
      <c r="A28" s="8"/>
      <c r="B28" s="8"/>
      <c r="C28" s="8"/>
    </row>
    <row r="29" spans="1:6" x14ac:dyDescent="0.25">
      <c r="A29" s="8"/>
      <c r="B29" s="8"/>
      <c r="C29" s="8"/>
    </row>
    <row r="30" spans="1:6" x14ac:dyDescent="0.25">
      <c r="A30" s="8"/>
      <c r="B30" s="8"/>
      <c r="C30" s="8"/>
    </row>
    <row r="31" spans="1:6" x14ac:dyDescent="0.25">
      <c r="A31" s="8"/>
      <c r="B31" s="8"/>
      <c r="C31" s="8"/>
    </row>
    <row r="32" spans="1:6" x14ac:dyDescent="0.25">
      <c r="A32" s="8"/>
      <c r="B32" s="8"/>
      <c r="C32" s="8"/>
    </row>
    <row r="33" spans="1:3" x14ac:dyDescent="0.25">
      <c r="A33" s="8"/>
      <c r="B33" s="8"/>
      <c r="C33" s="8"/>
    </row>
    <row r="34" spans="1:3" x14ac:dyDescent="0.25">
      <c r="A34" s="8"/>
      <c r="B34" s="8"/>
      <c r="C34" s="8"/>
    </row>
    <row r="35" spans="1:3" x14ac:dyDescent="0.25">
      <c r="A35" s="8"/>
      <c r="B35" s="8"/>
      <c r="C35" s="8"/>
    </row>
    <row r="36" spans="1:3" x14ac:dyDescent="0.25">
      <c r="A36" s="8"/>
      <c r="B36" s="8"/>
      <c r="C36" s="8"/>
    </row>
    <row r="37" spans="1:3" x14ac:dyDescent="0.25">
      <c r="A37" s="8"/>
      <c r="B37" s="8"/>
      <c r="C37" s="8"/>
    </row>
    <row r="38" spans="1:3" x14ac:dyDescent="0.25">
      <c r="A38" s="8"/>
      <c r="B38" s="8"/>
      <c r="C38" s="8"/>
    </row>
    <row r="39" spans="1:3" x14ac:dyDescent="0.25">
      <c r="A39" s="8"/>
      <c r="B39" s="8"/>
      <c r="C39" s="8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  <row r="47" spans="1:3" x14ac:dyDescent="0.25">
      <c r="A47" s="8"/>
      <c r="B47" s="8"/>
      <c r="C47" s="8"/>
    </row>
    <row r="48" spans="1:3" x14ac:dyDescent="0.25">
      <c r="A48" s="8"/>
      <c r="B48" s="8"/>
      <c r="C48" s="8"/>
    </row>
    <row r="49" spans="1:3" x14ac:dyDescent="0.25">
      <c r="A49" s="8"/>
      <c r="B49" s="8"/>
      <c r="C49" s="8"/>
    </row>
    <row r="50" spans="1:3" x14ac:dyDescent="0.25">
      <c r="A50" s="8"/>
      <c r="B50" s="8"/>
      <c r="C50" s="8"/>
    </row>
    <row r="51" spans="1:3" x14ac:dyDescent="0.25">
      <c r="A51" s="8"/>
      <c r="B51" s="8"/>
      <c r="C51" s="8"/>
    </row>
    <row r="52" spans="1:3" x14ac:dyDescent="0.25">
      <c r="A52" s="8"/>
      <c r="B52" s="8"/>
      <c r="C52" s="8"/>
    </row>
    <row r="53" spans="1:3" x14ac:dyDescent="0.25">
      <c r="A53" s="8"/>
      <c r="B53" s="8"/>
      <c r="C53" s="8"/>
    </row>
    <row r="54" spans="1:3" x14ac:dyDescent="0.25">
      <c r="A54" s="8"/>
      <c r="B54" s="8"/>
      <c r="C54" s="8"/>
    </row>
    <row r="55" spans="1:3" x14ac:dyDescent="0.25">
      <c r="A55" s="8"/>
      <c r="B55" s="8"/>
      <c r="C55" s="8"/>
    </row>
    <row r="56" spans="1:3" x14ac:dyDescent="0.25">
      <c r="A56" s="8"/>
      <c r="B56" s="8"/>
      <c r="C56" s="8"/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  <row r="61" spans="1:3" x14ac:dyDescent="0.25">
      <c r="A61" s="8"/>
      <c r="B61" s="8"/>
      <c r="C61" s="8"/>
    </row>
    <row r="62" spans="1:3" x14ac:dyDescent="0.25">
      <c r="A62" s="8"/>
      <c r="B62" s="8"/>
      <c r="C62" s="8"/>
    </row>
    <row r="63" spans="1:3" x14ac:dyDescent="0.25">
      <c r="A63" s="8"/>
      <c r="B63" s="8"/>
      <c r="C63" s="8"/>
    </row>
    <row r="64" spans="1:3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111" spans="1:3" x14ac:dyDescent="0.25">
      <c r="A111" s="8"/>
      <c r="B111" s="8"/>
      <c r="C111" s="8"/>
    </row>
    <row r="112" spans="1:3" x14ac:dyDescent="0.25">
      <c r="A112" s="8"/>
      <c r="B112" s="8"/>
      <c r="C112" s="8"/>
    </row>
    <row r="113" spans="1:3" x14ac:dyDescent="0.25">
      <c r="A113" s="8"/>
      <c r="B113" s="8"/>
      <c r="C113" s="8"/>
    </row>
    <row r="114" spans="1:3" x14ac:dyDescent="0.25">
      <c r="A114" s="8"/>
      <c r="B114" s="8"/>
      <c r="C114" s="8"/>
    </row>
    <row r="115" spans="1:3" x14ac:dyDescent="0.25">
      <c r="A115" s="8"/>
      <c r="B115" s="8"/>
      <c r="C115" s="8"/>
    </row>
    <row r="116" spans="1:3" x14ac:dyDescent="0.25">
      <c r="A116" s="8"/>
      <c r="B116" s="8"/>
      <c r="C116" s="8"/>
    </row>
    <row r="117" spans="1:3" x14ac:dyDescent="0.25">
      <c r="A117" s="8"/>
      <c r="B117" s="8"/>
      <c r="C117" s="8"/>
    </row>
    <row r="118" spans="1:3" x14ac:dyDescent="0.25">
      <c r="A118" s="8"/>
      <c r="B118" s="8"/>
      <c r="C118" s="8"/>
    </row>
    <row r="119" spans="1:3" x14ac:dyDescent="0.25">
      <c r="A119" s="8"/>
      <c r="B119" s="8"/>
      <c r="C119" s="8"/>
    </row>
    <row r="120" spans="1:3" x14ac:dyDescent="0.25">
      <c r="A120" s="8"/>
      <c r="B120" s="8"/>
      <c r="C120" s="8"/>
    </row>
    <row r="121" spans="1:3" x14ac:dyDescent="0.25">
      <c r="A121" s="8"/>
      <c r="B121" s="8"/>
      <c r="C121" s="8"/>
    </row>
    <row r="122" spans="1:3" x14ac:dyDescent="0.25">
      <c r="A122" s="8"/>
      <c r="B122" s="8"/>
      <c r="C122" s="8"/>
    </row>
    <row r="123" spans="1:3" x14ac:dyDescent="0.25">
      <c r="A123" s="8"/>
      <c r="B123" s="8"/>
      <c r="C123" s="8"/>
    </row>
    <row r="124" spans="1:3" x14ac:dyDescent="0.25">
      <c r="A124" s="8"/>
      <c r="B124" s="8"/>
      <c r="C124" s="8"/>
    </row>
    <row r="125" spans="1:3" x14ac:dyDescent="0.25">
      <c r="A125" s="8"/>
      <c r="B125" s="8"/>
      <c r="C125" s="8"/>
    </row>
    <row r="126" spans="1:3" x14ac:dyDescent="0.25">
      <c r="A126" s="8"/>
      <c r="B126" s="8"/>
      <c r="C126" s="8"/>
    </row>
    <row r="127" spans="1:3" x14ac:dyDescent="0.25">
      <c r="A127" s="8"/>
      <c r="B127" s="8"/>
      <c r="C127" s="8"/>
    </row>
    <row r="128" spans="1:3" x14ac:dyDescent="0.25">
      <c r="A128" s="8"/>
      <c r="B128" s="8"/>
      <c r="C128" s="8"/>
    </row>
    <row r="129" spans="1:3" x14ac:dyDescent="0.25">
      <c r="A129" s="8"/>
      <c r="B129" s="8"/>
      <c r="C129" s="8"/>
    </row>
    <row r="130" spans="1:3" x14ac:dyDescent="0.25">
      <c r="A130" s="8"/>
      <c r="B130" s="8"/>
      <c r="C130" s="8"/>
    </row>
    <row r="131" spans="1:3" x14ac:dyDescent="0.25">
      <c r="A131" s="8"/>
      <c r="B131" s="8"/>
      <c r="C131" s="8"/>
    </row>
    <row r="132" spans="1:3" x14ac:dyDescent="0.25">
      <c r="A132" s="8"/>
      <c r="B132" s="8"/>
      <c r="C132" s="8"/>
    </row>
    <row r="133" spans="1:3" x14ac:dyDescent="0.25">
      <c r="A133" s="8"/>
      <c r="B133" s="8"/>
      <c r="C133" s="8"/>
    </row>
    <row r="134" spans="1:3" x14ac:dyDescent="0.25">
      <c r="A134" s="8"/>
      <c r="B134" s="8"/>
      <c r="C134" s="8"/>
    </row>
    <row r="135" spans="1:3" x14ac:dyDescent="0.25">
      <c r="A135" s="8"/>
      <c r="B135" s="8"/>
      <c r="C135" s="8"/>
    </row>
    <row r="136" spans="1:3" x14ac:dyDescent="0.25">
      <c r="A136" s="8"/>
      <c r="B136" s="8"/>
      <c r="C136" s="8"/>
    </row>
    <row r="137" spans="1:3" x14ac:dyDescent="0.25">
      <c r="A137" s="8"/>
      <c r="B137" s="8"/>
      <c r="C137" s="8"/>
    </row>
    <row r="138" spans="1:3" x14ac:dyDescent="0.25">
      <c r="A138" s="8"/>
      <c r="B138" s="8"/>
      <c r="C138" s="8"/>
    </row>
    <row r="139" spans="1:3" x14ac:dyDescent="0.25">
      <c r="A139" s="8"/>
      <c r="B139" s="8"/>
      <c r="C139" s="8"/>
    </row>
    <row r="140" spans="1:3" x14ac:dyDescent="0.25">
      <c r="A140" s="8"/>
      <c r="B140" s="8"/>
      <c r="C140" s="8"/>
    </row>
    <row r="141" spans="1:3" x14ac:dyDescent="0.25">
      <c r="A141" s="8"/>
      <c r="B141" s="8"/>
      <c r="C141" s="8"/>
    </row>
    <row r="142" spans="1:3" x14ac:dyDescent="0.25">
      <c r="A142" s="8"/>
      <c r="B142" s="8"/>
      <c r="C142" s="8"/>
    </row>
    <row r="143" spans="1:3" x14ac:dyDescent="0.25">
      <c r="A143" s="8"/>
      <c r="B143" s="8"/>
      <c r="C143" s="8"/>
    </row>
    <row r="144" spans="1:3" x14ac:dyDescent="0.25">
      <c r="A144" s="8"/>
      <c r="B144" s="8"/>
      <c r="C144" s="8"/>
    </row>
    <row r="145" spans="1:3" x14ac:dyDescent="0.25">
      <c r="A145" s="8"/>
      <c r="B145" s="8"/>
      <c r="C145" s="8"/>
    </row>
    <row r="146" spans="1:3" x14ac:dyDescent="0.25">
      <c r="A146" s="8"/>
      <c r="B146" s="8"/>
      <c r="C146" s="8"/>
    </row>
    <row r="147" spans="1:3" x14ac:dyDescent="0.25">
      <c r="A147" s="8"/>
      <c r="B147" s="8"/>
      <c r="C147" s="8"/>
    </row>
    <row r="148" spans="1:3" x14ac:dyDescent="0.25">
      <c r="A148" s="8"/>
      <c r="B148" s="8"/>
      <c r="C148" s="8"/>
    </row>
    <row r="149" spans="1:3" x14ac:dyDescent="0.25">
      <c r="A149" s="8"/>
      <c r="B149" s="8"/>
      <c r="C149" s="8"/>
    </row>
    <row r="150" spans="1:3" x14ac:dyDescent="0.25">
      <c r="A150" s="8"/>
      <c r="B150" s="8"/>
      <c r="C150" s="8"/>
    </row>
    <row r="151" spans="1:3" x14ac:dyDescent="0.25">
      <c r="A151" s="8"/>
      <c r="B151" s="8"/>
      <c r="C151" s="8"/>
    </row>
    <row r="152" spans="1:3" x14ac:dyDescent="0.25">
      <c r="A152" s="8"/>
      <c r="B152" s="8"/>
      <c r="C152" s="8"/>
    </row>
    <row r="153" spans="1:3" x14ac:dyDescent="0.25">
      <c r="A153" s="8"/>
      <c r="B153" s="8"/>
      <c r="C153" s="8"/>
    </row>
    <row r="154" spans="1:3" x14ac:dyDescent="0.25">
      <c r="A154" s="8"/>
      <c r="B154" s="8"/>
      <c r="C154" s="8"/>
    </row>
    <row r="155" spans="1:3" x14ac:dyDescent="0.25">
      <c r="A155" s="8"/>
      <c r="B155" s="8"/>
      <c r="C155" s="8"/>
    </row>
    <row r="156" spans="1:3" x14ac:dyDescent="0.25">
      <c r="A156" s="8"/>
      <c r="B156" s="8"/>
      <c r="C156" s="8"/>
    </row>
    <row r="157" spans="1:3" x14ac:dyDescent="0.25">
      <c r="A157" s="8"/>
      <c r="B157" s="8"/>
      <c r="C157" s="8"/>
    </row>
    <row r="158" spans="1:3" x14ac:dyDescent="0.25">
      <c r="A158" s="8"/>
      <c r="B158" s="8"/>
      <c r="C158" s="8"/>
    </row>
    <row r="159" spans="1:3" x14ac:dyDescent="0.25">
      <c r="A159" s="8"/>
      <c r="B159" s="8"/>
      <c r="C159" s="8"/>
    </row>
    <row r="160" spans="1:3" x14ac:dyDescent="0.25">
      <c r="A160" s="8"/>
      <c r="B160" s="8"/>
      <c r="C160" s="8"/>
    </row>
    <row r="161" spans="1:3" x14ac:dyDescent="0.25">
      <c r="A161" s="8"/>
      <c r="B161" s="8"/>
      <c r="C161" s="8"/>
    </row>
    <row r="162" spans="1:3" x14ac:dyDescent="0.25">
      <c r="A162" s="8"/>
      <c r="B162" s="8"/>
      <c r="C162" s="8"/>
    </row>
    <row r="163" spans="1:3" x14ac:dyDescent="0.25">
      <c r="A163" s="8"/>
      <c r="B163" s="8"/>
      <c r="C163" s="8"/>
    </row>
    <row r="164" spans="1:3" x14ac:dyDescent="0.25">
      <c r="A164" s="8"/>
      <c r="B164" s="8"/>
      <c r="C164" s="8"/>
    </row>
    <row r="165" spans="1:3" x14ac:dyDescent="0.25">
      <c r="A165" s="8"/>
      <c r="B165" s="8"/>
      <c r="C165" s="8"/>
    </row>
    <row r="166" spans="1:3" x14ac:dyDescent="0.25">
      <c r="A166" s="8"/>
      <c r="B166" s="8"/>
      <c r="C166" s="8"/>
    </row>
    <row r="167" spans="1:3" x14ac:dyDescent="0.25">
      <c r="A167" s="8"/>
      <c r="B167" s="8"/>
      <c r="C167" s="8"/>
    </row>
    <row r="168" spans="1:3" x14ac:dyDescent="0.25">
      <c r="A168" s="8"/>
      <c r="B168" s="8"/>
      <c r="C168" s="8"/>
    </row>
    <row r="169" spans="1:3" x14ac:dyDescent="0.25">
      <c r="A169" s="8"/>
      <c r="B169" s="8"/>
      <c r="C169" s="8"/>
    </row>
    <row r="170" spans="1:3" x14ac:dyDescent="0.25">
      <c r="A170" s="8"/>
      <c r="B170" s="8"/>
      <c r="C170" s="8"/>
    </row>
    <row r="171" spans="1:3" x14ac:dyDescent="0.25">
      <c r="A171" s="8"/>
      <c r="B171" s="8"/>
      <c r="C171" s="8"/>
    </row>
    <row r="172" spans="1:3" x14ac:dyDescent="0.25">
      <c r="A172" s="8"/>
      <c r="B172" s="8"/>
      <c r="C172" s="8"/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  <row r="187" spans="1:3" x14ac:dyDescent="0.25">
      <c r="A187" s="8"/>
      <c r="B187" s="8"/>
      <c r="C187" s="8"/>
    </row>
  </sheetData>
  <mergeCells count="2">
    <mergeCell ref="A2:C2"/>
    <mergeCell ref="A1:E1"/>
  </mergeCell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E052-BDC7-4711-9381-783A859E6F8A}">
  <sheetPr>
    <pageSetUpPr fitToPage="1"/>
  </sheetPr>
  <dimension ref="A1:AMH31"/>
  <sheetViews>
    <sheetView tabSelected="1" topLeftCell="A22" zoomScaleNormal="100" workbookViewId="0">
      <selection activeCell="G10" sqref="G10"/>
    </sheetView>
  </sheetViews>
  <sheetFormatPr defaultColWidth="9.109375" defaultRowHeight="14.4" x14ac:dyDescent="0.3"/>
  <cols>
    <col min="1" max="1" width="38.109375" style="232" customWidth="1"/>
    <col min="2" max="2" width="14.88671875" style="232" hidden="1" customWidth="1"/>
    <col min="3" max="3" width="14.88671875" style="232" customWidth="1"/>
    <col min="4" max="4" width="19.44140625" style="232" customWidth="1"/>
    <col min="5" max="5" width="13" style="232" customWidth="1"/>
    <col min="6" max="6" width="19.88671875" style="232" customWidth="1"/>
    <col min="7" max="7" width="16" style="232" customWidth="1"/>
    <col min="8" max="8" width="20.6640625" style="232" customWidth="1"/>
    <col min="9" max="1022" width="10" style="232" customWidth="1"/>
    <col min="1023" max="1023" width="10.33203125" style="233" customWidth="1"/>
    <col min="1024" max="16384" width="9.109375" style="233"/>
  </cols>
  <sheetData>
    <row r="1" spans="1:8" ht="15.6" x14ac:dyDescent="0.3">
      <c r="A1" s="822" t="s">
        <v>253</v>
      </c>
      <c r="B1" s="822"/>
      <c r="C1" s="822"/>
      <c r="D1" s="822"/>
      <c r="F1" s="819" t="s">
        <v>378</v>
      </c>
      <c r="G1" s="819"/>
    </row>
    <row r="2" spans="1:8" ht="15.6" x14ac:dyDescent="0.3">
      <c r="A2" s="822" t="s">
        <v>546</v>
      </c>
      <c r="B2" s="822"/>
      <c r="C2" s="822"/>
      <c r="D2" s="822"/>
    </row>
    <row r="3" spans="1:8" ht="15.6" x14ac:dyDescent="0.3">
      <c r="A3" s="822" t="s">
        <v>706</v>
      </c>
      <c r="B3" s="822"/>
      <c r="C3" s="822"/>
      <c r="D3" s="822"/>
      <c r="G3" s="233"/>
    </row>
    <row r="4" spans="1:8" ht="15.6" x14ac:dyDescent="0.3">
      <c r="A4" s="234"/>
      <c r="G4" s="233"/>
    </row>
    <row r="5" spans="1:8" ht="15.75" customHeight="1" x14ac:dyDescent="0.3">
      <c r="A5" s="823" t="s">
        <v>255</v>
      </c>
      <c r="B5" s="823"/>
      <c r="C5" s="823"/>
      <c r="D5" s="823"/>
    </row>
    <row r="6" spans="1:8" x14ac:dyDescent="0.3">
      <c r="A6" s="235"/>
      <c r="G6" s="233"/>
    </row>
    <row r="7" spans="1:8" ht="16.2" thickBot="1" x14ac:dyDescent="0.35">
      <c r="B7" s="236" t="s">
        <v>256</v>
      </c>
      <c r="C7" s="237"/>
      <c r="D7" s="238"/>
    </row>
    <row r="8" spans="1:8" ht="33" customHeight="1" thickTop="1" x14ac:dyDescent="0.3">
      <c r="A8" s="301" t="s">
        <v>110</v>
      </c>
      <c r="B8" s="300" t="s">
        <v>377</v>
      </c>
      <c r="C8" s="300" t="s">
        <v>615</v>
      </c>
      <c r="D8" s="301" t="s">
        <v>257</v>
      </c>
      <c r="E8" s="300" t="s">
        <v>707</v>
      </c>
      <c r="F8" s="301" t="s">
        <v>257</v>
      </c>
      <c r="G8" s="300" t="s">
        <v>707</v>
      </c>
      <c r="H8" s="301" t="s">
        <v>257</v>
      </c>
    </row>
    <row r="9" spans="1:8" ht="19.95" customHeight="1" x14ac:dyDescent="0.3">
      <c r="A9" s="305" t="s">
        <v>258</v>
      </c>
      <c r="B9" s="302" t="s">
        <v>259</v>
      </c>
      <c r="C9" s="302" t="s">
        <v>259</v>
      </c>
      <c r="D9" s="303"/>
      <c r="E9" s="302" t="s">
        <v>259</v>
      </c>
      <c r="F9" s="303"/>
      <c r="G9" s="925" t="s">
        <v>708</v>
      </c>
      <c r="H9" s="303"/>
    </row>
    <row r="10" spans="1:8" ht="42.6" customHeight="1" thickBot="1" x14ac:dyDescent="0.35">
      <c r="A10" s="306"/>
      <c r="B10" s="304" t="s">
        <v>260</v>
      </c>
      <c r="C10" s="304" t="s">
        <v>260</v>
      </c>
      <c r="D10" s="303"/>
      <c r="E10" s="304" t="s">
        <v>260</v>
      </c>
      <c r="F10" s="303"/>
      <c r="G10" s="926" t="s">
        <v>709</v>
      </c>
      <c r="H10" s="303"/>
    </row>
    <row r="11" spans="1:8" ht="18" thickTop="1" x14ac:dyDescent="0.3">
      <c r="A11" s="285" t="s">
        <v>248</v>
      </c>
      <c r="B11" s="289">
        <v>58.5</v>
      </c>
      <c r="C11" s="289">
        <f>SUM(C12:C15)</f>
        <v>58.5</v>
      </c>
      <c r="D11" s="290">
        <v>0</v>
      </c>
      <c r="E11" s="289">
        <f>SUM(E12:E15)</f>
        <v>58.5</v>
      </c>
      <c r="F11" s="290">
        <v>0</v>
      </c>
      <c r="G11" s="289">
        <f>SUM(G12:G15)</f>
        <v>50</v>
      </c>
      <c r="H11" s="290">
        <v>0</v>
      </c>
    </row>
    <row r="12" spans="1:8" ht="19.5" customHeight="1" x14ac:dyDescent="0.3">
      <c r="A12" s="268" t="s">
        <v>386</v>
      </c>
      <c r="B12" s="291">
        <v>8.5</v>
      </c>
      <c r="C12" s="291">
        <v>8.5</v>
      </c>
      <c r="D12" s="292">
        <v>0</v>
      </c>
      <c r="E12" s="291">
        <v>8.5</v>
      </c>
      <c r="F12" s="292">
        <v>0</v>
      </c>
      <c r="G12" s="291">
        <v>8</v>
      </c>
      <c r="H12" s="292">
        <v>0</v>
      </c>
    </row>
    <row r="13" spans="1:8" ht="31.2" x14ac:dyDescent="0.3">
      <c r="A13" s="268" t="s">
        <v>387</v>
      </c>
      <c r="B13" s="291">
        <v>16</v>
      </c>
      <c r="C13" s="291">
        <v>16</v>
      </c>
      <c r="D13" s="292">
        <v>0</v>
      </c>
      <c r="E13" s="291">
        <v>16</v>
      </c>
      <c r="F13" s="292">
        <v>0</v>
      </c>
      <c r="G13" s="291">
        <v>11</v>
      </c>
      <c r="H13" s="292">
        <v>0</v>
      </c>
    </row>
    <row r="14" spans="1:8" ht="31.2" x14ac:dyDescent="0.3">
      <c r="A14" s="268" t="s">
        <v>388</v>
      </c>
      <c r="B14" s="291">
        <v>23</v>
      </c>
      <c r="C14" s="291">
        <v>23</v>
      </c>
      <c r="D14" s="292">
        <v>0</v>
      </c>
      <c r="E14" s="291">
        <v>23</v>
      </c>
      <c r="F14" s="292">
        <v>0</v>
      </c>
      <c r="G14" s="291">
        <v>20</v>
      </c>
      <c r="H14" s="292">
        <v>0</v>
      </c>
    </row>
    <row r="15" spans="1:8" ht="31.2" x14ac:dyDescent="0.3">
      <c r="A15" s="286" t="s">
        <v>389</v>
      </c>
      <c r="B15" s="293">
        <v>11</v>
      </c>
      <c r="C15" s="293">
        <v>11</v>
      </c>
      <c r="D15" s="292"/>
      <c r="E15" s="293">
        <v>11</v>
      </c>
      <c r="F15" s="292">
        <v>0</v>
      </c>
      <c r="G15" s="293">
        <v>11</v>
      </c>
      <c r="H15" s="292">
        <v>0</v>
      </c>
    </row>
    <row r="16" spans="1:8" ht="17.399999999999999" x14ac:dyDescent="0.3">
      <c r="A16" s="239" t="s">
        <v>261</v>
      </c>
      <c r="B16" s="294">
        <f t="shared" ref="B16:H16" si="0">SUM(B17:B28)</f>
        <v>159</v>
      </c>
      <c r="C16" s="294">
        <f t="shared" si="0"/>
        <v>143</v>
      </c>
      <c r="D16" s="290">
        <f t="shared" si="0"/>
        <v>0</v>
      </c>
      <c r="E16" s="294">
        <f t="shared" si="0"/>
        <v>143</v>
      </c>
      <c r="F16" s="290">
        <f t="shared" si="0"/>
        <v>0</v>
      </c>
      <c r="G16" s="294">
        <f t="shared" si="0"/>
        <v>124</v>
      </c>
      <c r="H16" s="290">
        <f t="shared" si="0"/>
        <v>0</v>
      </c>
    </row>
    <row r="17" spans="1:8" ht="31.2" x14ac:dyDescent="0.3">
      <c r="A17" s="269" t="s">
        <v>390</v>
      </c>
      <c r="B17" s="295">
        <v>48</v>
      </c>
      <c r="C17" s="295">
        <v>48</v>
      </c>
      <c r="D17" s="292">
        <v>0</v>
      </c>
      <c r="E17" s="295">
        <v>48</v>
      </c>
      <c r="F17" s="292">
        <v>0</v>
      </c>
      <c r="G17" s="295">
        <v>47</v>
      </c>
      <c r="H17" s="292">
        <v>0</v>
      </c>
    </row>
    <row r="18" spans="1:8" ht="31.2" x14ac:dyDescent="0.3">
      <c r="A18" s="287" t="s">
        <v>391</v>
      </c>
      <c r="B18" s="295">
        <v>36</v>
      </c>
      <c r="C18" s="295">
        <v>20</v>
      </c>
      <c r="D18" s="292">
        <v>0</v>
      </c>
      <c r="E18" s="295">
        <v>20</v>
      </c>
      <c r="F18" s="292">
        <v>0</v>
      </c>
      <c r="G18" s="295">
        <v>20</v>
      </c>
      <c r="H18" s="292">
        <v>0</v>
      </c>
    </row>
    <row r="19" spans="1:8" ht="19.5" customHeight="1" x14ac:dyDescent="0.3">
      <c r="A19" s="269" t="s">
        <v>262</v>
      </c>
      <c r="B19" s="295">
        <v>9</v>
      </c>
      <c r="C19" s="295">
        <v>9</v>
      </c>
      <c r="D19" s="292">
        <v>0</v>
      </c>
      <c r="E19" s="295">
        <v>9</v>
      </c>
      <c r="F19" s="292">
        <v>0</v>
      </c>
      <c r="G19" s="295">
        <v>7</v>
      </c>
      <c r="H19" s="292">
        <v>0</v>
      </c>
    </row>
    <row r="20" spans="1:8" ht="18" customHeight="1" x14ac:dyDescent="0.3">
      <c r="A20" s="269" t="s">
        <v>392</v>
      </c>
      <c r="B20" s="295">
        <v>15</v>
      </c>
      <c r="C20" s="295">
        <v>15</v>
      </c>
      <c r="D20" s="292">
        <v>0</v>
      </c>
      <c r="E20" s="295">
        <v>15</v>
      </c>
      <c r="F20" s="292">
        <v>0</v>
      </c>
      <c r="G20" s="295">
        <v>13</v>
      </c>
      <c r="H20" s="292">
        <v>0</v>
      </c>
    </row>
    <row r="21" spans="1:8" ht="18" x14ac:dyDescent="0.3">
      <c r="A21" s="269" t="s">
        <v>263</v>
      </c>
      <c r="B21" s="295">
        <v>6</v>
      </c>
      <c r="C21" s="295">
        <v>6</v>
      </c>
      <c r="D21" s="292">
        <v>0</v>
      </c>
      <c r="E21" s="295">
        <v>6</v>
      </c>
      <c r="F21" s="292">
        <v>0</v>
      </c>
      <c r="G21" s="295">
        <v>5</v>
      </c>
      <c r="H21" s="292">
        <v>0</v>
      </c>
    </row>
    <row r="22" spans="1:8" ht="16.5" customHeight="1" x14ac:dyDescent="0.3">
      <c r="A22" s="269" t="s">
        <v>264</v>
      </c>
      <c r="B22" s="295">
        <v>3</v>
      </c>
      <c r="C22" s="295">
        <v>3</v>
      </c>
      <c r="D22" s="292">
        <v>0</v>
      </c>
      <c r="E22" s="295">
        <v>3</v>
      </c>
      <c r="F22" s="292">
        <v>0</v>
      </c>
      <c r="G22" s="295">
        <v>3</v>
      </c>
      <c r="H22" s="292">
        <v>0</v>
      </c>
    </row>
    <row r="23" spans="1:8" ht="16.5" customHeight="1" x14ac:dyDescent="0.3">
      <c r="A23" s="269" t="s">
        <v>265</v>
      </c>
      <c r="B23" s="295">
        <v>2</v>
      </c>
      <c r="C23" s="295">
        <v>2</v>
      </c>
      <c r="D23" s="292">
        <v>0</v>
      </c>
      <c r="E23" s="295">
        <v>2</v>
      </c>
      <c r="F23" s="292">
        <v>0</v>
      </c>
      <c r="G23" s="295">
        <v>2</v>
      </c>
      <c r="H23" s="292">
        <v>0</v>
      </c>
    </row>
    <row r="24" spans="1:8" ht="16.5" customHeight="1" x14ac:dyDescent="0.3">
      <c r="A24" s="269" t="s">
        <v>266</v>
      </c>
      <c r="B24" s="295">
        <v>2</v>
      </c>
      <c r="C24" s="295">
        <v>2</v>
      </c>
      <c r="D24" s="292">
        <v>0</v>
      </c>
      <c r="E24" s="295">
        <v>2</v>
      </c>
      <c r="F24" s="292">
        <v>0</v>
      </c>
      <c r="G24" s="295">
        <v>2</v>
      </c>
      <c r="H24" s="292">
        <v>0</v>
      </c>
    </row>
    <row r="25" spans="1:8" ht="18.75" customHeight="1" x14ac:dyDescent="0.3">
      <c r="A25" s="269" t="s">
        <v>267</v>
      </c>
      <c r="B25" s="295">
        <v>1</v>
      </c>
      <c r="C25" s="295">
        <v>1</v>
      </c>
      <c r="D25" s="292">
        <v>0</v>
      </c>
      <c r="E25" s="295">
        <v>1</v>
      </c>
      <c r="F25" s="292">
        <v>0</v>
      </c>
      <c r="G25" s="295">
        <v>1</v>
      </c>
      <c r="H25" s="292">
        <v>0</v>
      </c>
    </row>
    <row r="26" spans="1:8" ht="18" customHeight="1" x14ac:dyDescent="0.3">
      <c r="A26" s="269" t="s">
        <v>268</v>
      </c>
      <c r="B26" s="295">
        <v>34</v>
      </c>
      <c r="C26" s="295">
        <v>34</v>
      </c>
      <c r="D26" s="292">
        <v>0</v>
      </c>
      <c r="E26" s="295">
        <v>34</v>
      </c>
      <c r="F26" s="292">
        <v>0</v>
      </c>
      <c r="G26" s="295">
        <v>22</v>
      </c>
      <c r="H26" s="292">
        <v>0</v>
      </c>
    </row>
    <row r="27" spans="1:8" ht="18.75" customHeight="1" x14ac:dyDescent="0.3">
      <c r="A27" s="269" t="s">
        <v>269</v>
      </c>
      <c r="B27" s="295">
        <v>1</v>
      </c>
      <c r="C27" s="295">
        <v>1</v>
      </c>
      <c r="D27" s="292">
        <v>0</v>
      </c>
      <c r="E27" s="295">
        <v>1</v>
      </c>
      <c r="F27" s="292">
        <v>0</v>
      </c>
      <c r="G27" s="295">
        <v>1</v>
      </c>
      <c r="H27" s="292">
        <v>0</v>
      </c>
    </row>
    <row r="28" spans="1:8" ht="18" customHeight="1" x14ac:dyDescent="0.3">
      <c r="A28" s="269" t="s">
        <v>379</v>
      </c>
      <c r="B28" s="295">
        <v>2</v>
      </c>
      <c r="C28" s="295">
        <v>2</v>
      </c>
      <c r="D28" s="292">
        <v>0</v>
      </c>
      <c r="E28" s="295">
        <v>2</v>
      </c>
      <c r="F28" s="292">
        <v>0</v>
      </c>
      <c r="G28" s="295">
        <v>1</v>
      </c>
      <c r="H28" s="292">
        <v>0</v>
      </c>
    </row>
    <row r="29" spans="1:8" ht="31.2" x14ac:dyDescent="0.3">
      <c r="A29" s="240" t="s">
        <v>393</v>
      </c>
      <c r="B29" s="296">
        <v>0</v>
      </c>
      <c r="C29" s="294">
        <v>0</v>
      </c>
      <c r="D29" s="297">
        <v>0</v>
      </c>
      <c r="E29" s="294">
        <v>0</v>
      </c>
      <c r="F29" s="297">
        <v>0</v>
      </c>
      <c r="G29" s="294">
        <v>0</v>
      </c>
      <c r="H29" s="297">
        <v>0</v>
      </c>
    </row>
    <row r="30" spans="1:8" ht="21.75" customHeight="1" thickBot="1" x14ac:dyDescent="0.35">
      <c r="A30" s="288" t="s">
        <v>51</v>
      </c>
      <c r="B30" s="298">
        <f>B16+B11</f>
        <v>217.5</v>
      </c>
      <c r="C30" s="298">
        <f t="shared" ref="C30:H30" si="1">SUM(C11+C16+C29)</f>
        <v>201.5</v>
      </c>
      <c r="D30" s="299">
        <f t="shared" si="1"/>
        <v>0</v>
      </c>
      <c r="E30" s="298">
        <f t="shared" si="1"/>
        <v>201.5</v>
      </c>
      <c r="F30" s="299">
        <f t="shared" si="1"/>
        <v>0</v>
      </c>
      <c r="G30" s="298">
        <f t="shared" si="1"/>
        <v>174</v>
      </c>
      <c r="H30" s="299">
        <f t="shared" si="1"/>
        <v>0</v>
      </c>
    </row>
    <row r="31" spans="1:8" ht="15" thickTop="1" x14ac:dyDescent="0.3"/>
  </sheetData>
  <mergeCells count="5">
    <mergeCell ref="F1:G1"/>
    <mergeCell ref="A1:D1"/>
    <mergeCell ref="A2:D2"/>
    <mergeCell ref="A3:D3"/>
    <mergeCell ref="A5:D5"/>
  </mergeCells>
  <pageMargins left="0.70000000000000007" right="0.70000000000000007" top="1.1437007874015752" bottom="1.1437007874015752" header="0.75000000000000011" footer="0.7500000000000001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1"/>
  <sheetViews>
    <sheetView zoomScaleNormal="100" workbookViewId="0">
      <selection activeCell="K8" sqref="K8"/>
    </sheetView>
  </sheetViews>
  <sheetFormatPr defaultRowHeight="13.2" x14ac:dyDescent="0.25"/>
  <cols>
    <col min="1" max="1" width="21.44140625" customWidth="1"/>
    <col min="2" max="2" width="31.33203125" customWidth="1"/>
    <col min="3" max="3" width="12.6640625" customWidth="1"/>
    <col min="4" max="4" width="5" customWidth="1"/>
    <col min="5" max="5" width="11.109375" bestFit="1" customWidth="1"/>
    <col min="6" max="6" width="10.109375" bestFit="1" customWidth="1"/>
    <col min="257" max="257" width="21.44140625" customWidth="1"/>
    <col min="258" max="258" width="24.44140625" customWidth="1"/>
    <col min="259" max="259" width="12.6640625" customWidth="1"/>
    <col min="260" max="260" width="5" customWidth="1"/>
    <col min="513" max="513" width="21.44140625" customWidth="1"/>
    <col min="514" max="514" width="24.44140625" customWidth="1"/>
    <col min="515" max="515" width="12.6640625" customWidth="1"/>
    <col min="516" max="516" width="5" customWidth="1"/>
    <col min="769" max="769" width="21.44140625" customWidth="1"/>
    <col min="770" max="770" width="24.44140625" customWidth="1"/>
    <col min="771" max="771" width="12.6640625" customWidth="1"/>
    <col min="772" max="772" width="5" customWidth="1"/>
    <col min="1025" max="1025" width="21.44140625" customWidth="1"/>
    <col min="1026" max="1026" width="24.44140625" customWidth="1"/>
    <col min="1027" max="1027" width="12.6640625" customWidth="1"/>
    <col min="1028" max="1028" width="5" customWidth="1"/>
    <col min="1281" max="1281" width="21.44140625" customWidth="1"/>
    <col min="1282" max="1282" width="24.44140625" customWidth="1"/>
    <col min="1283" max="1283" width="12.6640625" customWidth="1"/>
    <col min="1284" max="1284" width="5" customWidth="1"/>
    <col min="1537" max="1537" width="21.44140625" customWidth="1"/>
    <col min="1538" max="1538" width="24.44140625" customWidth="1"/>
    <col min="1539" max="1539" width="12.6640625" customWidth="1"/>
    <col min="1540" max="1540" width="5" customWidth="1"/>
    <col min="1793" max="1793" width="21.44140625" customWidth="1"/>
    <col min="1794" max="1794" width="24.44140625" customWidth="1"/>
    <col min="1795" max="1795" width="12.6640625" customWidth="1"/>
    <col min="1796" max="1796" width="5" customWidth="1"/>
    <col min="2049" max="2049" width="21.44140625" customWidth="1"/>
    <col min="2050" max="2050" width="24.44140625" customWidth="1"/>
    <col min="2051" max="2051" width="12.6640625" customWidth="1"/>
    <col min="2052" max="2052" width="5" customWidth="1"/>
    <col min="2305" max="2305" width="21.44140625" customWidth="1"/>
    <col min="2306" max="2306" width="24.44140625" customWidth="1"/>
    <col min="2307" max="2307" width="12.6640625" customWidth="1"/>
    <col min="2308" max="2308" width="5" customWidth="1"/>
    <col min="2561" max="2561" width="21.44140625" customWidth="1"/>
    <col min="2562" max="2562" width="24.44140625" customWidth="1"/>
    <col min="2563" max="2563" width="12.6640625" customWidth="1"/>
    <col min="2564" max="2564" width="5" customWidth="1"/>
    <col min="2817" max="2817" width="21.44140625" customWidth="1"/>
    <col min="2818" max="2818" width="24.44140625" customWidth="1"/>
    <col min="2819" max="2819" width="12.6640625" customWidth="1"/>
    <col min="2820" max="2820" width="5" customWidth="1"/>
    <col min="3073" max="3073" width="21.44140625" customWidth="1"/>
    <col min="3074" max="3074" width="24.44140625" customWidth="1"/>
    <col min="3075" max="3075" width="12.6640625" customWidth="1"/>
    <col min="3076" max="3076" width="5" customWidth="1"/>
    <col min="3329" max="3329" width="21.44140625" customWidth="1"/>
    <col min="3330" max="3330" width="24.44140625" customWidth="1"/>
    <col min="3331" max="3331" width="12.6640625" customWidth="1"/>
    <col min="3332" max="3332" width="5" customWidth="1"/>
    <col min="3585" max="3585" width="21.44140625" customWidth="1"/>
    <col min="3586" max="3586" width="24.44140625" customWidth="1"/>
    <col min="3587" max="3587" width="12.6640625" customWidth="1"/>
    <col min="3588" max="3588" width="5" customWidth="1"/>
    <col min="3841" max="3841" width="21.44140625" customWidth="1"/>
    <col min="3842" max="3842" width="24.44140625" customWidth="1"/>
    <col min="3843" max="3843" width="12.6640625" customWidth="1"/>
    <col min="3844" max="3844" width="5" customWidth="1"/>
    <col min="4097" max="4097" width="21.44140625" customWidth="1"/>
    <col min="4098" max="4098" width="24.44140625" customWidth="1"/>
    <col min="4099" max="4099" width="12.6640625" customWidth="1"/>
    <col min="4100" max="4100" width="5" customWidth="1"/>
    <col min="4353" max="4353" width="21.44140625" customWidth="1"/>
    <col min="4354" max="4354" width="24.44140625" customWidth="1"/>
    <col min="4355" max="4355" width="12.6640625" customWidth="1"/>
    <col min="4356" max="4356" width="5" customWidth="1"/>
    <col min="4609" max="4609" width="21.44140625" customWidth="1"/>
    <col min="4610" max="4610" width="24.44140625" customWidth="1"/>
    <col min="4611" max="4611" width="12.6640625" customWidth="1"/>
    <col min="4612" max="4612" width="5" customWidth="1"/>
    <col min="4865" max="4865" width="21.44140625" customWidth="1"/>
    <col min="4866" max="4866" width="24.44140625" customWidth="1"/>
    <col min="4867" max="4867" width="12.6640625" customWidth="1"/>
    <col min="4868" max="4868" width="5" customWidth="1"/>
    <col min="5121" max="5121" width="21.44140625" customWidth="1"/>
    <col min="5122" max="5122" width="24.44140625" customWidth="1"/>
    <col min="5123" max="5123" width="12.6640625" customWidth="1"/>
    <col min="5124" max="5124" width="5" customWidth="1"/>
    <col min="5377" max="5377" width="21.44140625" customWidth="1"/>
    <col min="5378" max="5378" width="24.44140625" customWidth="1"/>
    <col min="5379" max="5379" width="12.6640625" customWidth="1"/>
    <col min="5380" max="5380" width="5" customWidth="1"/>
    <col min="5633" max="5633" width="21.44140625" customWidth="1"/>
    <col min="5634" max="5634" width="24.44140625" customWidth="1"/>
    <col min="5635" max="5635" width="12.6640625" customWidth="1"/>
    <col min="5636" max="5636" width="5" customWidth="1"/>
    <col min="5889" max="5889" width="21.44140625" customWidth="1"/>
    <col min="5890" max="5890" width="24.44140625" customWidth="1"/>
    <col min="5891" max="5891" width="12.6640625" customWidth="1"/>
    <col min="5892" max="5892" width="5" customWidth="1"/>
    <col min="6145" max="6145" width="21.44140625" customWidth="1"/>
    <col min="6146" max="6146" width="24.44140625" customWidth="1"/>
    <col min="6147" max="6147" width="12.6640625" customWidth="1"/>
    <col min="6148" max="6148" width="5" customWidth="1"/>
    <col min="6401" max="6401" width="21.44140625" customWidth="1"/>
    <col min="6402" max="6402" width="24.44140625" customWidth="1"/>
    <col min="6403" max="6403" width="12.6640625" customWidth="1"/>
    <col min="6404" max="6404" width="5" customWidth="1"/>
    <col min="6657" max="6657" width="21.44140625" customWidth="1"/>
    <col min="6658" max="6658" width="24.44140625" customWidth="1"/>
    <col min="6659" max="6659" width="12.6640625" customWidth="1"/>
    <col min="6660" max="6660" width="5" customWidth="1"/>
    <col min="6913" max="6913" width="21.44140625" customWidth="1"/>
    <col min="6914" max="6914" width="24.44140625" customWidth="1"/>
    <col min="6915" max="6915" width="12.6640625" customWidth="1"/>
    <col min="6916" max="6916" width="5" customWidth="1"/>
    <col min="7169" max="7169" width="21.44140625" customWidth="1"/>
    <col min="7170" max="7170" width="24.44140625" customWidth="1"/>
    <col min="7171" max="7171" width="12.6640625" customWidth="1"/>
    <col min="7172" max="7172" width="5" customWidth="1"/>
    <col min="7425" max="7425" width="21.44140625" customWidth="1"/>
    <col min="7426" max="7426" width="24.44140625" customWidth="1"/>
    <col min="7427" max="7427" width="12.6640625" customWidth="1"/>
    <col min="7428" max="7428" width="5" customWidth="1"/>
    <col min="7681" max="7681" width="21.44140625" customWidth="1"/>
    <col min="7682" max="7682" width="24.44140625" customWidth="1"/>
    <col min="7683" max="7683" width="12.6640625" customWidth="1"/>
    <col min="7684" max="7684" width="5" customWidth="1"/>
    <col min="7937" max="7937" width="21.44140625" customWidth="1"/>
    <col min="7938" max="7938" width="24.44140625" customWidth="1"/>
    <col min="7939" max="7939" width="12.6640625" customWidth="1"/>
    <col min="7940" max="7940" width="5" customWidth="1"/>
    <col min="8193" max="8193" width="21.44140625" customWidth="1"/>
    <col min="8194" max="8194" width="24.44140625" customWidth="1"/>
    <col min="8195" max="8195" width="12.6640625" customWidth="1"/>
    <col min="8196" max="8196" width="5" customWidth="1"/>
    <col min="8449" max="8449" width="21.44140625" customWidth="1"/>
    <col min="8450" max="8450" width="24.44140625" customWidth="1"/>
    <col min="8451" max="8451" width="12.6640625" customWidth="1"/>
    <col min="8452" max="8452" width="5" customWidth="1"/>
    <col min="8705" max="8705" width="21.44140625" customWidth="1"/>
    <col min="8706" max="8706" width="24.44140625" customWidth="1"/>
    <col min="8707" max="8707" width="12.6640625" customWidth="1"/>
    <col min="8708" max="8708" width="5" customWidth="1"/>
    <col min="8961" max="8961" width="21.44140625" customWidth="1"/>
    <col min="8962" max="8962" width="24.44140625" customWidth="1"/>
    <col min="8963" max="8963" width="12.6640625" customWidth="1"/>
    <col min="8964" max="8964" width="5" customWidth="1"/>
    <col min="9217" max="9217" width="21.44140625" customWidth="1"/>
    <col min="9218" max="9218" width="24.44140625" customWidth="1"/>
    <col min="9219" max="9219" width="12.6640625" customWidth="1"/>
    <col min="9220" max="9220" width="5" customWidth="1"/>
    <col min="9473" max="9473" width="21.44140625" customWidth="1"/>
    <col min="9474" max="9474" width="24.44140625" customWidth="1"/>
    <col min="9475" max="9475" width="12.6640625" customWidth="1"/>
    <col min="9476" max="9476" width="5" customWidth="1"/>
    <col min="9729" max="9729" width="21.44140625" customWidth="1"/>
    <col min="9730" max="9730" width="24.44140625" customWidth="1"/>
    <col min="9731" max="9731" width="12.6640625" customWidth="1"/>
    <col min="9732" max="9732" width="5" customWidth="1"/>
    <col min="9985" max="9985" width="21.44140625" customWidth="1"/>
    <col min="9986" max="9986" width="24.44140625" customWidth="1"/>
    <col min="9987" max="9987" width="12.6640625" customWidth="1"/>
    <col min="9988" max="9988" width="5" customWidth="1"/>
    <col min="10241" max="10241" width="21.44140625" customWidth="1"/>
    <col min="10242" max="10242" width="24.44140625" customWidth="1"/>
    <col min="10243" max="10243" width="12.6640625" customWidth="1"/>
    <col min="10244" max="10244" width="5" customWidth="1"/>
    <col min="10497" max="10497" width="21.44140625" customWidth="1"/>
    <col min="10498" max="10498" width="24.44140625" customWidth="1"/>
    <col min="10499" max="10499" width="12.6640625" customWidth="1"/>
    <col min="10500" max="10500" width="5" customWidth="1"/>
    <col min="10753" max="10753" width="21.44140625" customWidth="1"/>
    <col min="10754" max="10754" width="24.44140625" customWidth="1"/>
    <col min="10755" max="10755" width="12.6640625" customWidth="1"/>
    <col min="10756" max="10756" width="5" customWidth="1"/>
    <col min="11009" max="11009" width="21.44140625" customWidth="1"/>
    <col min="11010" max="11010" width="24.44140625" customWidth="1"/>
    <col min="11011" max="11011" width="12.6640625" customWidth="1"/>
    <col min="11012" max="11012" width="5" customWidth="1"/>
    <col min="11265" max="11265" width="21.44140625" customWidth="1"/>
    <col min="11266" max="11266" width="24.44140625" customWidth="1"/>
    <col min="11267" max="11267" width="12.6640625" customWidth="1"/>
    <col min="11268" max="11268" width="5" customWidth="1"/>
    <col min="11521" max="11521" width="21.44140625" customWidth="1"/>
    <col min="11522" max="11522" width="24.44140625" customWidth="1"/>
    <col min="11523" max="11523" width="12.6640625" customWidth="1"/>
    <col min="11524" max="11524" width="5" customWidth="1"/>
    <col min="11777" max="11777" width="21.44140625" customWidth="1"/>
    <col min="11778" max="11778" width="24.44140625" customWidth="1"/>
    <col min="11779" max="11779" width="12.6640625" customWidth="1"/>
    <col min="11780" max="11780" width="5" customWidth="1"/>
    <col min="12033" max="12033" width="21.44140625" customWidth="1"/>
    <col min="12034" max="12034" width="24.44140625" customWidth="1"/>
    <col min="12035" max="12035" width="12.6640625" customWidth="1"/>
    <col min="12036" max="12036" width="5" customWidth="1"/>
    <col min="12289" max="12289" width="21.44140625" customWidth="1"/>
    <col min="12290" max="12290" width="24.44140625" customWidth="1"/>
    <col min="12291" max="12291" width="12.6640625" customWidth="1"/>
    <col min="12292" max="12292" width="5" customWidth="1"/>
    <col min="12545" max="12545" width="21.44140625" customWidth="1"/>
    <col min="12546" max="12546" width="24.44140625" customWidth="1"/>
    <col min="12547" max="12547" width="12.6640625" customWidth="1"/>
    <col min="12548" max="12548" width="5" customWidth="1"/>
    <col min="12801" max="12801" width="21.44140625" customWidth="1"/>
    <col min="12802" max="12802" width="24.44140625" customWidth="1"/>
    <col min="12803" max="12803" width="12.6640625" customWidth="1"/>
    <col min="12804" max="12804" width="5" customWidth="1"/>
    <col min="13057" max="13057" width="21.44140625" customWidth="1"/>
    <col min="13058" max="13058" width="24.44140625" customWidth="1"/>
    <col min="13059" max="13059" width="12.6640625" customWidth="1"/>
    <col min="13060" max="13060" width="5" customWidth="1"/>
    <col min="13313" max="13313" width="21.44140625" customWidth="1"/>
    <col min="13314" max="13314" width="24.44140625" customWidth="1"/>
    <col min="13315" max="13315" width="12.6640625" customWidth="1"/>
    <col min="13316" max="13316" width="5" customWidth="1"/>
    <col min="13569" max="13569" width="21.44140625" customWidth="1"/>
    <col min="13570" max="13570" width="24.44140625" customWidth="1"/>
    <col min="13571" max="13571" width="12.6640625" customWidth="1"/>
    <col min="13572" max="13572" width="5" customWidth="1"/>
    <col min="13825" max="13825" width="21.44140625" customWidth="1"/>
    <col min="13826" max="13826" width="24.44140625" customWidth="1"/>
    <col min="13827" max="13827" width="12.6640625" customWidth="1"/>
    <col min="13828" max="13828" width="5" customWidth="1"/>
    <col min="14081" max="14081" width="21.44140625" customWidth="1"/>
    <col min="14082" max="14082" width="24.44140625" customWidth="1"/>
    <col min="14083" max="14083" width="12.6640625" customWidth="1"/>
    <col min="14084" max="14084" width="5" customWidth="1"/>
    <col min="14337" max="14337" width="21.44140625" customWidth="1"/>
    <col min="14338" max="14338" width="24.44140625" customWidth="1"/>
    <col min="14339" max="14339" width="12.6640625" customWidth="1"/>
    <col min="14340" max="14340" width="5" customWidth="1"/>
    <col min="14593" max="14593" width="21.44140625" customWidth="1"/>
    <col min="14594" max="14594" width="24.44140625" customWidth="1"/>
    <col min="14595" max="14595" width="12.6640625" customWidth="1"/>
    <col min="14596" max="14596" width="5" customWidth="1"/>
    <col min="14849" max="14849" width="21.44140625" customWidth="1"/>
    <col min="14850" max="14850" width="24.44140625" customWidth="1"/>
    <col min="14851" max="14851" width="12.6640625" customWidth="1"/>
    <col min="14852" max="14852" width="5" customWidth="1"/>
    <col min="15105" max="15105" width="21.44140625" customWidth="1"/>
    <col min="15106" max="15106" width="24.44140625" customWidth="1"/>
    <col min="15107" max="15107" width="12.6640625" customWidth="1"/>
    <col min="15108" max="15108" width="5" customWidth="1"/>
    <col min="15361" max="15361" width="21.44140625" customWidth="1"/>
    <col min="15362" max="15362" width="24.44140625" customWidth="1"/>
    <col min="15363" max="15363" width="12.6640625" customWidth="1"/>
    <col min="15364" max="15364" width="5" customWidth="1"/>
    <col min="15617" max="15617" width="21.44140625" customWidth="1"/>
    <col min="15618" max="15618" width="24.44140625" customWidth="1"/>
    <col min="15619" max="15619" width="12.6640625" customWidth="1"/>
    <col min="15620" max="15620" width="5" customWidth="1"/>
    <col min="15873" max="15873" width="21.44140625" customWidth="1"/>
    <col min="15874" max="15874" width="24.44140625" customWidth="1"/>
    <col min="15875" max="15875" width="12.6640625" customWidth="1"/>
    <col min="15876" max="15876" width="5" customWidth="1"/>
    <col min="16129" max="16129" width="21.44140625" customWidth="1"/>
    <col min="16130" max="16130" width="24.44140625" customWidth="1"/>
    <col min="16131" max="16131" width="12.6640625" customWidth="1"/>
    <col min="16132" max="16132" width="5" customWidth="1"/>
  </cols>
  <sheetData>
    <row r="1" spans="1:13" x14ac:dyDescent="0.25">
      <c r="A1" s="701" t="s">
        <v>586</v>
      </c>
      <c r="B1" s="701"/>
      <c r="C1" s="701"/>
      <c r="D1" s="701"/>
      <c r="E1" s="701"/>
      <c r="F1" s="701"/>
      <c r="G1" s="8"/>
      <c r="H1" s="8"/>
      <c r="I1" s="8"/>
      <c r="J1" s="8"/>
      <c r="K1" s="8"/>
      <c r="L1" s="8"/>
      <c r="M1" s="8"/>
    </row>
    <row r="2" spans="1:13" x14ac:dyDescent="0.25">
      <c r="A2" s="8"/>
      <c r="B2" s="8"/>
      <c r="C2" s="828" t="s">
        <v>206</v>
      </c>
      <c r="D2" s="828"/>
      <c r="E2" s="828"/>
      <c r="F2" s="828"/>
      <c r="G2" s="8"/>
      <c r="H2" s="8"/>
      <c r="I2" s="8"/>
      <c r="J2" s="8"/>
      <c r="K2" s="8"/>
      <c r="L2" s="8"/>
      <c r="M2" s="8"/>
    </row>
    <row r="3" spans="1:13" x14ac:dyDescent="0.25">
      <c r="A3" s="8"/>
      <c r="B3" s="8"/>
      <c r="C3" s="8"/>
      <c r="D3" s="29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826" t="s">
        <v>380</v>
      </c>
      <c r="B4" s="826"/>
      <c r="C4" s="826"/>
      <c r="D4" s="826"/>
      <c r="E4" s="826"/>
      <c r="F4" s="826"/>
      <c r="G4" s="8"/>
      <c r="H4" s="8"/>
      <c r="I4" s="8"/>
      <c r="J4" s="8"/>
      <c r="K4" s="8"/>
      <c r="L4" s="8"/>
      <c r="M4" s="8"/>
    </row>
    <row r="5" spans="1:13" x14ac:dyDescent="0.25">
      <c r="A5" s="8"/>
      <c r="B5" s="8"/>
      <c r="C5" s="8"/>
      <c r="D5" s="29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826" t="s">
        <v>381</v>
      </c>
      <c r="B6" s="826"/>
      <c r="C6" s="826"/>
      <c r="D6" s="826"/>
      <c r="E6" s="826"/>
      <c r="F6" s="826"/>
      <c r="G6" s="8"/>
      <c r="H6" s="8"/>
      <c r="I6" s="8"/>
      <c r="J6" s="8"/>
      <c r="K6" s="8"/>
      <c r="L6" s="8"/>
      <c r="M6" s="8"/>
    </row>
    <row r="7" spans="1:13" x14ac:dyDescent="0.25">
      <c r="A7" s="8"/>
      <c r="B7" s="8"/>
      <c r="C7" s="8"/>
      <c r="D7" s="29"/>
      <c r="E7" s="8"/>
      <c r="F7" s="8"/>
      <c r="G7" s="8"/>
      <c r="H7" s="8"/>
      <c r="I7" s="8"/>
      <c r="J7" s="8"/>
      <c r="K7" s="8"/>
      <c r="L7" s="8"/>
      <c r="M7" s="8"/>
    </row>
    <row r="8" spans="1:13" ht="135" customHeight="1" x14ac:dyDescent="0.25">
      <c r="A8" s="827" t="s">
        <v>382</v>
      </c>
      <c r="B8" s="827"/>
      <c r="C8" s="827"/>
      <c r="D8" s="827"/>
      <c r="E8" s="827"/>
      <c r="F8" s="827"/>
      <c r="G8" s="8"/>
      <c r="H8" s="8"/>
      <c r="I8" s="8"/>
      <c r="J8" s="8"/>
      <c r="K8" s="8"/>
      <c r="L8" s="8"/>
      <c r="M8" s="8"/>
    </row>
    <row r="9" spans="1:13" x14ac:dyDescent="0.25">
      <c r="A9" s="8"/>
      <c r="B9" s="8"/>
      <c r="C9" s="8"/>
      <c r="D9" s="29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826" t="s">
        <v>383</v>
      </c>
      <c r="B10" s="826"/>
      <c r="C10" s="826"/>
      <c r="D10" s="826"/>
      <c r="E10" s="826"/>
      <c r="F10" s="826"/>
      <c r="G10" s="8"/>
      <c r="H10" s="8"/>
      <c r="I10" s="8"/>
      <c r="J10" s="8"/>
      <c r="K10" s="8"/>
      <c r="L10" s="8"/>
      <c r="M10" s="8"/>
    </row>
    <row r="11" spans="1:13" ht="42" customHeight="1" x14ac:dyDescent="0.25">
      <c r="A11" s="824" t="s">
        <v>213</v>
      </c>
      <c r="B11" s="825"/>
      <c r="C11" s="402">
        <v>22445266</v>
      </c>
      <c r="D11" s="197" t="s">
        <v>67</v>
      </c>
      <c r="E11" s="180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/>
      <c r="B14" s="8"/>
      <c r="C14" s="8"/>
      <c r="D14" s="8"/>
      <c r="E14" s="8"/>
      <c r="F14" s="8"/>
      <c r="G14" s="8"/>
      <c r="H14" s="347"/>
      <c r="I14" s="8"/>
      <c r="J14" s="8"/>
      <c r="K14" s="8"/>
      <c r="L14" s="8"/>
      <c r="M14" s="8"/>
    </row>
    <row r="15" spans="1:13" x14ac:dyDescent="0.25">
      <c r="A15" s="8"/>
      <c r="B15" s="8"/>
      <c r="C15" s="8"/>
      <c r="D15" s="8"/>
      <c r="E15" s="8"/>
      <c r="F15" s="8"/>
      <c r="G15" s="8"/>
      <c r="H15" s="347"/>
      <c r="I15" s="8"/>
      <c r="J15" s="8"/>
      <c r="K15" s="8"/>
      <c r="L15" s="8"/>
      <c r="M15" s="8"/>
    </row>
    <row r="16" spans="1:1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</sheetData>
  <mergeCells count="7">
    <mergeCell ref="A11:B11"/>
    <mergeCell ref="A10:F10"/>
    <mergeCell ref="A8:F8"/>
    <mergeCell ref="A1:F1"/>
    <mergeCell ref="C2:F2"/>
    <mergeCell ref="A4:F4"/>
    <mergeCell ref="A6:F6"/>
  </mergeCells>
  <pageMargins left="0.75" right="0.75" top="1" bottom="1" header="0.5" footer="0.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6"/>
  <sheetViews>
    <sheetView topLeftCell="A2" zoomScale="95" zoomScaleNormal="95" workbookViewId="0">
      <pane xSplit="1" topLeftCell="I1" activePane="topRight" state="frozen"/>
      <selection pane="topRight" activeCell="Q5" sqref="Q5:Q21"/>
    </sheetView>
  </sheetViews>
  <sheetFormatPr defaultRowHeight="13.2" x14ac:dyDescent="0.25"/>
  <cols>
    <col min="1" max="1" width="31" customWidth="1"/>
    <col min="2" max="2" width="13" customWidth="1"/>
    <col min="3" max="3" width="13.109375" customWidth="1"/>
    <col min="4" max="4" width="13.44140625" customWidth="1"/>
    <col min="5" max="5" width="12.5546875" customWidth="1"/>
    <col min="6" max="6" width="13.109375" customWidth="1"/>
    <col min="7" max="7" width="14.44140625" customWidth="1"/>
    <col min="8" max="8" width="15.6640625" customWidth="1"/>
    <col min="9" max="9" width="14" customWidth="1"/>
    <col min="10" max="10" width="14.88671875" customWidth="1"/>
    <col min="11" max="11" width="14.5546875" customWidth="1"/>
    <col min="12" max="12" width="19" customWidth="1"/>
    <col min="13" max="13" width="14" customWidth="1"/>
    <col min="14" max="14" width="16" customWidth="1"/>
    <col min="15" max="15" width="16.5546875" style="216" customWidth="1"/>
    <col min="16" max="16" width="13.44140625" style="216" bestFit="1" customWidth="1"/>
    <col min="17" max="17" width="15.6640625" style="218" customWidth="1"/>
    <col min="18" max="18" width="14" style="218" customWidth="1"/>
    <col min="19" max="19" width="17.44140625" style="216" bestFit="1" customWidth="1"/>
    <col min="20" max="20" width="21.33203125" style="216" customWidth="1"/>
    <col min="255" max="255" width="27.33203125" customWidth="1"/>
    <col min="256" max="256" width="10.109375" customWidth="1"/>
    <col min="257" max="257" width="9.88671875" customWidth="1"/>
    <col min="260" max="260" width="10" customWidth="1"/>
    <col min="261" max="261" width="10.6640625" customWidth="1"/>
    <col min="262" max="262" width="9.5546875" bestFit="1" customWidth="1"/>
    <col min="263" max="263" width="9.6640625" bestFit="1" customWidth="1"/>
    <col min="264" max="264" width="9.88671875" customWidth="1"/>
    <col min="265" max="266" width="9.6640625" bestFit="1" customWidth="1"/>
    <col min="267" max="267" width="10.33203125" customWidth="1"/>
    <col min="268" max="268" width="10.6640625" customWidth="1"/>
    <col min="269" max="269" width="10.88671875" customWidth="1"/>
    <col min="511" max="511" width="27.33203125" customWidth="1"/>
    <col min="512" max="512" width="10.109375" customWidth="1"/>
    <col min="513" max="513" width="9.88671875" customWidth="1"/>
    <col min="516" max="516" width="10" customWidth="1"/>
    <col min="517" max="517" width="10.6640625" customWidth="1"/>
    <col min="518" max="518" width="9.5546875" bestFit="1" customWidth="1"/>
    <col min="519" max="519" width="9.6640625" bestFit="1" customWidth="1"/>
    <col min="520" max="520" width="9.88671875" customWidth="1"/>
    <col min="521" max="522" width="9.6640625" bestFit="1" customWidth="1"/>
    <col min="523" max="523" width="10.33203125" customWidth="1"/>
    <col min="524" max="524" width="10.6640625" customWidth="1"/>
    <col min="525" max="525" width="10.88671875" customWidth="1"/>
    <col min="767" max="767" width="27.33203125" customWidth="1"/>
    <col min="768" max="768" width="10.109375" customWidth="1"/>
    <col min="769" max="769" width="9.88671875" customWidth="1"/>
    <col min="772" max="772" width="10" customWidth="1"/>
    <col min="773" max="773" width="10.6640625" customWidth="1"/>
    <col min="774" max="774" width="9.5546875" bestFit="1" customWidth="1"/>
    <col min="775" max="775" width="9.6640625" bestFit="1" customWidth="1"/>
    <col min="776" max="776" width="9.88671875" customWidth="1"/>
    <col min="777" max="778" width="9.6640625" bestFit="1" customWidth="1"/>
    <col min="779" max="779" width="10.33203125" customWidth="1"/>
    <col min="780" max="780" width="10.6640625" customWidth="1"/>
    <col min="781" max="781" width="10.88671875" customWidth="1"/>
    <col min="1023" max="1023" width="27.33203125" customWidth="1"/>
    <col min="1024" max="1024" width="10.109375" customWidth="1"/>
    <col min="1025" max="1025" width="9.88671875" customWidth="1"/>
    <col min="1028" max="1028" width="10" customWidth="1"/>
    <col min="1029" max="1029" width="10.6640625" customWidth="1"/>
    <col min="1030" max="1030" width="9.5546875" bestFit="1" customWidth="1"/>
    <col min="1031" max="1031" width="9.6640625" bestFit="1" customWidth="1"/>
    <col min="1032" max="1032" width="9.88671875" customWidth="1"/>
    <col min="1033" max="1034" width="9.6640625" bestFit="1" customWidth="1"/>
    <col min="1035" max="1035" width="10.33203125" customWidth="1"/>
    <col min="1036" max="1036" width="10.6640625" customWidth="1"/>
    <col min="1037" max="1037" width="10.88671875" customWidth="1"/>
    <col min="1279" max="1279" width="27.33203125" customWidth="1"/>
    <col min="1280" max="1280" width="10.109375" customWidth="1"/>
    <col min="1281" max="1281" width="9.88671875" customWidth="1"/>
    <col min="1284" max="1284" width="10" customWidth="1"/>
    <col min="1285" max="1285" width="10.6640625" customWidth="1"/>
    <col min="1286" max="1286" width="9.5546875" bestFit="1" customWidth="1"/>
    <col min="1287" max="1287" width="9.6640625" bestFit="1" customWidth="1"/>
    <col min="1288" max="1288" width="9.88671875" customWidth="1"/>
    <col min="1289" max="1290" width="9.6640625" bestFit="1" customWidth="1"/>
    <col min="1291" max="1291" width="10.33203125" customWidth="1"/>
    <col min="1292" max="1292" width="10.6640625" customWidth="1"/>
    <col min="1293" max="1293" width="10.88671875" customWidth="1"/>
    <col min="1535" max="1535" width="27.33203125" customWidth="1"/>
    <col min="1536" max="1536" width="10.109375" customWidth="1"/>
    <col min="1537" max="1537" width="9.88671875" customWidth="1"/>
    <col min="1540" max="1540" width="10" customWidth="1"/>
    <col min="1541" max="1541" width="10.6640625" customWidth="1"/>
    <col min="1542" max="1542" width="9.5546875" bestFit="1" customWidth="1"/>
    <col min="1543" max="1543" width="9.6640625" bestFit="1" customWidth="1"/>
    <col min="1544" max="1544" width="9.88671875" customWidth="1"/>
    <col min="1545" max="1546" width="9.6640625" bestFit="1" customWidth="1"/>
    <col min="1547" max="1547" width="10.33203125" customWidth="1"/>
    <col min="1548" max="1548" width="10.6640625" customWidth="1"/>
    <col min="1549" max="1549" width="10.88671875" customWidth="1"/>
    <col min="1791" max="1791" width="27.33203125" customWidth="1"/>
    <col min="1792" max="1792" width="10.109375" customWidth="1"/>
    <col min="1793" max="1793" width="9.88671875" customWidth="1"/>
    <col min="1796" max="1796" width="10" customWidth="1"/>
    <col min="1797" max="1797" width="10.6640625" customWidth="1"/>
    <col min="1798" max="1798" width="9.5546875" bestFit="1" customWidth="1"/>
    <col min="1799" max="1799" width="9.6640625" bestFit="1" customWidth="1"/>
    <col min="1800" max="1800" width="9.88671875" customWidth="1"/>
    <col min="1801" max="1802" width="9.6640625" bestFit="1" customWidth="1"/>
    <col min="1803" max="1803" width="10.33203125" customWidth="1"/>
    <col min="1804" max="1804" width="10.6640625" customWidth="1"/>
    <col min="1805" max="1805" width="10.88671875" customWidth="1"/>
    <col min="2047" max="2047" width="27.33203125" customWidth="1"/>
    <col min="2048" max="2048" width="10.109375" customWidth="1"/>
    <col min="2049" max="2049" width="9.88671875" customWidth="1"/>
    <col min="2052" max="2052" width="10" customWidth="1"/>
    <col min="2053" max="2053" width="10.6640625" customWidth="1"/>
    <col min="2054" max="2054" width="9.5546875" bestFit="1" customWidth="1"/>
    <col min="2055" max="2055" width="9.6640625" bestFit="1" customWidth="1"/>
    <col min="2056" max="2056" width="9.88671875" customWidth="1"/>
    <col min="2057" max="2058" width="9.6640625" bestFit="1" customWidth="1"/>
    <col min="2059" max="2059" width="10.33203125" customWidth="1"/>
    <col min="2060" max="2060" width="10.6640625" customWidth="1"/>
    <col min="2061" max="2061" width="10.88671875" customWidth="1"/>
    <col min="2303" max="2303" width="27.33203125" customWidth="1"/>
    <col min="2304" max="2304" width="10.109375" customWidth="1"/>
    <col min="2305" max="2305" width="9.88671875" customWidth="1"/>
    <col min="2308" max="2308" width="10" customWidth="1"/>
    <col min="2309" max="2309" width="10.6640625" customWidth="1"/>
    <col min="2310" max="2310" width="9.5546875" bestFit="1" customWidth="1"/>
    <col min="2311" max="2311" width="9.6640625" bestFit="1" customWidth="1"/>
    <col min="2312" max="2312" width="9.88671875" customWidth="1"/>
    <col min="2313" max="2314" width="9.6640625" bestFit="1" customWidth="1"/>
    <col min="2315" max="2315" width="10.33203125" customWidth="1"/>
    <col min="2316" max="2316" width="10.6640625" customWidth="1"/>
    <col min="2317" max="2317" width="10.88671875" customWidth="1"/>
    <col min="2559" max="2559" width="27.33203125" customWidth="1"/>
    <col min="2560" max="2560" width="10.109375" customWidth="1"/>
    <col min="2561" max="2561" width="9.88671875" customWidth="1"/>
    <col min="2564" max="2564" width="10" customWidth="1"/>
    <col min="2565" max="2565" width="10.6640625" customWidth="1"/>
    <col min="2566" max="2566" width="9.5546875" bestFit="1" customWidth="1"/>
    <col min="2567" max="2567" width="9.6640625" bestFit="1" customWidth="1"/>
    <col min="2568" max="2568" width="9.88671875" customWidth="1"/>
    <col min="2569" max="2570" width="9.6640625" bestFit="1" customWidth="1"/>
    <col min="2571" max="2571" width="10.33203125" customWidth="1"/>
    <col min="2572" max="2572" width="10.6640625" customWidth="1"/>
    <col min="2573" max="2573" width="10.88671875" customWidth="1"/>
    <col min="2815" max="2815" width="27.33203125" customWidth="1"/>
    <col min="2816" max="2816" width="10.109375" customWidth="1"/>
    <col min="2817" max="2817" width="9.88671875" customWidth="1"/>
    <col min="2820" max="2820" width="10" customWidth="1"/>
    <col min="2821" max="2821" width="10.6640625" customWidth="1"/>
    <col min="2822" max="2822" width="9.5546875" bestFit="1" customWidth="1"/>
    <col min="2823" max="2823" width="9.6640625" bestFit="1" customWidth="1"/>
    <col min="2824" max="2824" width="9.88671875" customWidth="1"/>
    <col min="2825" max="2826" width="9.6640625" bestFit="1" customWidth="1"/>
    <col min="2827" max="2827" width="10.33203125" customWidth="1"/>
    <col min="2828" max="2828" width="10.6640625" customWidth="1"/>
    <col min="2829" max="2829" width="10.88671875" customWidth="1"/>
    <col min="3071" max="3071" width="27.33203125" customWidth="1"/>
    <col min="3072" max="3072" width="10.109375" customWidth="1"/>
    <col min="3073" max="3073" width="9.88671875" customWidth="1"/>
    <col min="3076" max="3076" width="10" customWidth="1"/>
    <col min="3077" max="3077" width="10.6640625" customWidth="1"/>
    <col min="3078" max="3078" width="9.5546875" bestFit="1" customWidth="1"/>
    <col min="3079" max="3079" width="9.6640625" bestFit="1" customWidth="1"/>
    <col min="3080" max="3080" width="9.88671875" customWidth="1"/>
    <col min="3081" max="3082" width="9.6640625" bestFit="1" customWidth="1"/>
    <col min="3083" max="3083" width="10.33203125" customWidth="1"/>
    <col min="3084" max="3084" width="10.6640625" customWidth="1"/>
    <col min="3085" max="3085" width="10.88671875" customWidth="1"/>
    <col min="3327" max="3327" width="27.33203125" customWidth="1"/>
    <col min="3328" max="3328" width="10.109375" customWidth="1"/>
    <col min="3329" max="3329" width="9.88671875" customWidth="1"/>
    <col min="3332" max="3332" width="10" customWidth="1"/>
    <col min="3333" max="3333" width="10.6640625" customWidth="1"/>
    <col min="3334" max="3334" width="9.5546875" bestFit="1" customWidth="1"/>
    <col min="3335" max="3335" width="9.6640625" bestFit="1" customWidth="1"/>
    <col min="3336" max="3336" width="9.88671875" customWidth="1"/>
    <col min="3337" max="3338" width="9.6640625" bestFit="1" customWidth="1"/>
    <col min="3339" max="3339" width="10.33203125" customWidth="1"/>
    <col min="3340" max="3340" width="10.6640625" customWidth="1"/>
    <col min="3341" max="3341" width="10.88671875" customWidth="1"/>
    <col min="3583" max="3583" width="27.33203125" customWidth="1"/>
    <col min="3584" max="3584" width="10.109375" customWidth="1"/>
    <col min="3585" max="3585" width="9.88671875" customWidth="1"/>
    <col min="3588" max="3588" width="10" customWidth="1"/>
    <col min="3589" max="3589" width="10.6640625" customWidth="1"/>
    <col min="3590" max="3590" width="9.5546875" bestFit="1" customWidth="1"/>
    <col min="3591" max="3591" width="9.6640625" bestFit="1" customWidth="1"/>
    <col min="3592" max="3592" width="9.88671875" customWidth="1"/>
    <col min="3593" max="3594" width="9.6640625" bestFit="1" customWidth="1"/>
    <col min="3595" max="3595" width="10.33203125" customWidth="1"/>
    <col min="3596" max="3596" width="10.6640625" customWidth="1"/>
    <col min="3597" max="3597" width="10.88671875" customWidth="1"/>
    <col min="3839" max="3839" width="27.33203125" customWidth="1"/>
    <col min="3840" max="3840" width="10.109375" customWidth="1"/>
    <col min="3841" max="3841" width="9.88671875" customWidth="1"/>
    <col min="3844" max="3844" width="10" customWidth="1"/>
    <col min="3845" max="3845" width="10.6640625" customWidth="1"/>
    <col min="3846" max="3846" width="9.5546875" bestFit="1" customWidth="1"/>
    <col min="3847" max="3847" width="9.6640625" bestFit="1" customWidth="1"/>
    <col min="3848" max="3848" width="9.88671875" customWidth="1"/>
    <col min="3849" max="3850" width="9.6640625" bestFit="1" customWidth="1"/>
    <col min="3851" max="3851" width="10.33203125" customWidth="1"/>
    <col min="3852" max="3852" width="10.6640625" customWidth="1"/>
    <col min="3853" max="3853" width="10.88671875" customWidth="1"/>
    <col min="4095" max="4095" width="27.33203125" customWidth="1"/>
    <col min="4096" max="4096" width="10.109375" customWidth="1"/>
    <col min="4097" max="4097" width="9.88671875" customWidth="1"/>
    <col min="4100" max="4100" width="10" customWidth="1"/>
    <col min="4101" max="4101" width="10.6640625" customWidth="1"/>
    <col min="4102" max="4102" width="9.5546875" bestFit="1" customWidth="1"/>
    <col min="4103" max="4103" width="9.6640625" bestFit="1" customWidth="1"/>
    <col min="4104" max="4104" width="9.88671875" customWidth="1"/>
    <col min="4105" max="4106" width="9.6640625" bestFit="1" customWidth="1"/>
    <col min="4107" max="4107" width="10.33203125" customWidth="1"/>
    <col min="4108" max="4108" width="10.6640625" customWidth="1"/>
    <col min="4109" max="4109" width="10.88671875" customWidth="1"/>
    <col min="4351" max="4351" width="27.33203125" customWidth="1"/>
    <col min="4352" max="4352" width="10.109375" customWidth="1"/>
    <col min="4353" max="4353" width="9.88671875" customWidth="1"/>
    <col min="4356" max="4356" width="10" customWidth="1"/>
    <col min="4357" max="4357" width="10.6640625" customWidth="1"/>
    <col min="4358" max="4358" width="9.5546875" bestFit="1" customWidth="1"/>
    <col min="4359" max="4359" width="9.6640625" bestFit="1" customWidth="1"/>
    <col min="4360" max="4360" width="9.88671875" customWidth="1"/>
    <col min="4361" max="4362" width="9.6640625" bestFit="1" customWidth="1"/>
    <col min="4363" max="4363" width="10.33203125" customWidth="1"/>
    <col min="4364" max="4364" width="10.6640625" customWidth="1"/>
    <col min="4365" max="4365" width="10.88671875" customWidth="1"/>
    <col min="4607" max="4607" width="27.33203125" customWidth="1"/>
    <col min="4608" max="4608" width="10.109375" customWidth="1"/>
    <col min="4609" max="4609" width="9.88671875" customWidth="1"/>
    <col min="4612" max="4612" width="10" customWidth="1"/>
    <col min="4613" max="4613" width="10.6640625" customWidth="1"/>
    <col min="4614" max="4614" width="9.5546875" bestFit="1" customWidth="1"/>
    <col min="4615" max="4615" width="9.6640625" bestFit="1" customWidth="1"/>
    <col min="4616" max="4616" width="9.88671875" customWidth="1"/>
    <col min="4617" max="4618" width="9.6640625" bestFit="1" customWidth="1"/>
    <col min="4619" max="4619" width="10.33203125" customWidth="1"/>
    <col min="4620" max="4620" width="10.6640625" customWidth="1"/>
    <col min="4621" max="4621" width="10.88671875" customWidth="1"/>
    <col min="4863" max="4863" width="27.33203125" customWidth="1"/>
    <col min="4864" max="4864" width="10.109375" customWidth="1"/>
    <col min="4865" max="4865" width="9.88671875" customWidth="1"/>
    <col min="4868" max="4868" width="10" customWidth="1"/>
    <col min="4869" max="4869" width="10.6640625" customWidth="1"/>
    <col min="4870" max="4870" width="9.5546875" bestFit="1" customWidth="1"/>
    <col min="4871" max="4871" width="9.6640625" bestFit="1" customWidth="1"/>
    <col min="4872" max="4872" width="9.88671875" customWidth="1"/>
    <col min="4873" max="4874" width="9.6640625" bestFit="1" customWidth="1"/>
    <col min="4875" max="4875" width="10.33203125" customWidth="1"/>
    <col min="4876" max="4876" width="10.6640625" customWidth="1"/>
    <col min="4877" max="4877" width="10.88671875" customWidth="1"/>
    <col min="5119" max="5119" width="27.33203125" customWidth="1"/>
    <col min="5120" max="5120" width="10.109375" customWidth="1"/>
    <col min="5121" max="5121" width="9.88671875" customWidth="1"/>
    <col min="5124" max="5124" width="10" customWidth="1"/>
    <col min="5125" max="5125" width="10.6640625" customWidth="1"/>
    <col min="5126" max="5126" width="9.5546875" bestFit="1" customWidth="1"/>
    <col min="5127" max="5127" width="9.6640625" bestFit="1" customWidth="1"/>
    <col min="5128" max="5128" width="9.88671875" customWidth="1"/>
    <col min="5129" max="5130" width="9.6640625" bestFit="1" customWidth="1"/>
    <col min="5131" max="5131" width="10.33203125" customWidth="1"/>
    <col min="5132" max="5132" width="10.6640625" customWidth="1"/>
    <col min="5133" max="5133" width="10.88671875" customWidth="1"/>
    <col min="5375" max="5375" width="27.33203125" customWidth="1"/>
    <col min="5376" max="5376" width="10.109375" customWidth="1"/>
    <col min="5377" max="5377" width="9.88671875" customWidth="1"/>
    <col min="5380" max="5380" width="10" customWidth="1"/>
    <col min="5381" max="5381" width="10.6640625" customWidth="1"/>
    <col min="5382" max="5382" width="9.5546875" bestFit="1" customWidth="1"/>
    <col min="5383" max="5383" width="9.6640625" bestFit="1" customWidth="1"/>
    <col min="5384" max="5384" width="9.88671875" customWidth="1"/>
    <col min="5385" max="5386" width="9.6640625" bestFit="1" customWidth="1"/>
    <col min="5387" max="5387" width="10.33203125" customWidth="1"/>
    <col min="5388" max="5388" width="10.6640625" customWidth="1"/>
    <col min="5389" max="5389" width="10.88671875" customWidth="1"/>
    <col min="5631" max="5631" width="27.33203125" customWidth="1"/>
    <col min="5632" max="5632" width="10.109375" customWidth="1"/>
    <col min="5633" max="5633" width="9.88671875" customWidth="1"/>
    <col min="5636" max="5636" width="10" customWidth="1"/>
    <col min="5637" max="5637" width="10.6640625" customWidth="1"/>
    <col min="5638" max="5638" width="9.5546875" bestFit="1" customWidth="1"/>
    <col min="5639" max="5639" width="9.6640625" bestFit="1" customWidth="1"/>
    <col min="5640" max="5640" width="9.88671875" customWidth="1"/>
    <col min="5641" max="5642" width="9.6640625" bestFit="1" customWidth="1"/>
    <col min="5643" max="5643" width="10.33203125" customWidth="1"/>
    <col min="5644" max="5644" width="10.6640625" customWidth="1"/>
    <col min="5645" max="5645" width="10.88671875" customWidth="1"/>
    <col min="5887" max="5887" width="27.33203125" customWidth="1"/>
    <col min="5888" max="5888" width="10.109375" customWidth="1"/>
    <col min="5889" max="5889" width="9.88671875" customWidth="1"/>
    <col min="5892" max="5892" width="10" customWidth="1"/>
    <col min="5893" max="5893" width="10.6640625" customWidth="1"/>
    <col min="5894" max="5894" width="9.5546875" bestFit="1" customWidth="1"/>
    <col min="5895" max="5895" width="9.6640625" bestFit="1" customWidth="1"/>
    <col min="5896" max="5896" width="9.88671875" customWidth="1"/>
    <col min="5897" max="5898" width="9.6640625" bestFit="1" customWidth="1"/>
    <col min="5899" max="5899" width="10.33203125" customWidth="1"/>
    <col min="5900" max="5900" width="10.6640625" customWidth="1"/>
    <col min="5901" max="5901" width="10.88671875" customWidth="1"/>
    <col min="6143" max="6143" width="27.33203125" customWidth="1"/>
    <col min="6144" max="6144" width="10.109375" customWidth="1"/>
    <col min="6145" max="6145" width="9.88671875" customWidth="1"/>
    <col min="6148" max="6148" width="10" customWidth="1"/>
    <col min="6149" max="6149" width="10.6640625" customWidth="1"/>
    <col min="6150" max="6150" width="9.5546875" bestFit="1" customWidth="1"/>
    <col min="6151" max="6151" width="9.6640625" bestFit="1" customWidth="1"/>
    <col min="6152" max="6152" width="9.88671875" customWidth="1"/>
    <col min="6153" max="6154" width="9.6640625" bestFit="1" customWidth="1"/>
    <col min="6155" max="6155" width="10.33203125" customWidth="1"/>
    <col min="6156" max="6156" width="10.6640625" customWidth="1"/>
    <col min="6157" max="6157" width="10.88671875" customWidth="1"/>
    <col min="6399" max="6399" width="27.33203125" customWidth="1"/>
    <col min="6400" max="6400" width="10.109375" customWidth="1"/>
    <col min="6401" max="6401" width="9.88671875" customWidth="1"/>
    <col min="6404" max="6404" width="10" customWidth="1"/>
    <col min="6405" max="6405" width="10.6640625" customWidth="1"/>
    <col min="6406" max="6406" width="9.5546875" bestFit="1" customWidth="1"/>
    <col min="6407" max="6407" width="9.6640625" bestFit="1" customWidth="1"/>
    <col min="6408" max="6408" width="9.88671875" customWidth="1"/>
    <col min="6409" max="6410" width="9.6640625" bestFit="1" customWidth="1"/>
    <col min="6411" max="6411" width="10.33203125" customWidth="1"/>
    <col min="6412" max="6412" width="10.6640625" customWidth="1"/>
    <col min="6413" max="6413" width="10.88671875" customWidth="1"/>
    <col min="6655" max="6655" width="27.33203125" customWidth="1"/>
    <col min="6656" max="6656" width="10.109375" customWidth="1"/>
    <col min="6657" max="6657" width="9.88671875" customWidth="1"/>
    <col min="6660" max="6660" width="10" customWidth="1"/>
    <col min="6661" max="6661" width="10.6640625" customWidth="1"/>
    <col min="6662" max="6662" width="9.5546875" bestFit="1" customWidth="1"/>
    <col min="6663" max="6663" width="9.6640625" bestFit="1" customWidth="1"/>
    <col min="6664" max="6664" width="9.88671875" customWidth="1"/>
    <col min="6665" max="6666" width="9.6640625" bestFit="1" customWidth="1"/>
    <col min="6667" max="6667" width="10.33203125" customWidth="1"/>
    <col min="6668" max="6668" width="10.6640625" customWidth="1"/>
    <col min="6669" max="6669" width="10.88671875" customWidth="1"/>
    <col min="6911" max="6911" width="27.33203125" customWidth="1"/>
    <col min="6912" max="6912" width="10.109375" customWidth="1"/>
    <col min="6913" max="6913" width="9.88671875" customWidth="1"/>
    <col min="6916" max="6916" width="10" customWidth="1"/>
    <col min="6917" max="6917" width="10.6640625" customWidth="1"/>
    <col min="6918" max="6918" width="9.5546875" bestFit="1" customWidth="1"/>
    <col min="6919" max="6919" width="9.6640625" bestFit="1" customWidth="1"/>
    <col min="6920" max="6920" width="9.88671875" customWidth="1"/>
    <col min="6921" max="6922" width="9.6640625" bestFit="1" customWidth="1"/>
    <col min="6923" max="6923" width="10.33203125" customWidth="1"/>
    <col min="6924" max="6924" width="10.6640625" customWidth="1"/>
    <col min="6925" max="6925" width="10.88671875" customWidth="1"/>
    <col min="7167" max="7167" width="27.33203125" customWidth="1"/>
    <col min="7168" max="7168" width="10.109375" customWidth="1"/>
    <col min="7169" max="7169" width="9.88671875" customWidth="1"/>
    <col min="7172" max="7172" width="10" customWidth="1"/>
    <col min="7173" max="7173" width="10.6640625" customWidth="1"/>
    <col min="7174" max="7174" width="9.5546875" bestFit="1" customWidth="1"/>
    <col min="7175" max="7175" width="9.6640625" bestFit="1" customWidth="1"/>
    <col min="7176" max="7176" width="9.88671875" customWidth="1"/>
    <col min="7177" max="7178" width="9.6640625" bestFit="1" customWidth="1"/>
    <col min="7179" max="7179" width="10.33203125" customWidth="1"/>
    <col min="7180" max="7180" width="10.6640625" customWidth="1"/>
    <col min="7181" max="7181" width="10.88671875" customWidth="1"/>
    <col min="7423" max="7423" width="27.33203125" customWidth="1"/>
    <col min="7424" max="7424" width="10.109375" customWidth="1"/>
    <col min="7425" max="7425" width="9.88671875" customWidth="1"/>
    <col min="7428" max="7428" width="10" customWidth="1"/>
    <col min="7429" max="7429" width="10.6640625" customWidth="1"/>
    <col min="7430" max="7430" width="9.5546875" bestFit="1" customWidth="1"/>
    <col min="7431" max="7431" width="9.6640625" bestFit="1" customWidth="1"/>
    <col min="7432" max="7432" width="9.88671875" customWidth="1"/>
    <col min="7433" max="7434" width="9.6640625" bestFit="1" customWidth="1"/>
    <col min="7435" max="7435" width="10.33203125" customWidth="1"/>
    <col min="7436" max="7436" width="10.6640625" customWidth="1"/>
    <col min="7437" max="7437" width="10.88671875" customWidth="1"/>
    <col min="7679" max="7679" width="27.33203125" customWidth="1"/>
    <col min="7680" max="7680" width="10.109375" customWidth="1"/>
    <col min="7681" max="7681" width="9.88671875" customWidth="1"/>
    <col min="7684" max="7684" width="10" customWidth="1"/>
    <col min="7685" max="7685" width="10.6640625" customWidth="1"/>
    <col min="7686" max="7686" width="9.5546875" bestFit="1" customWidth="1"/>
    <col min="7687" max="7687" width="9.6640625" bestFit="1" customWidth="1"/>
    <col min="7688" max="7688" width="9.88671875" customWidth="1"/>
    <col min="7689" max="7690" width="9.6640625" bestFit="1" customWidth="1"/>
    <col min="7691" max="7691" width="10.33203125" customWidth="1"/>
    <col min="7692" max="7692" width="10.6640625" customWidth="1"/>
    <col min="7693" max="7693" width="10.88671875" customWidth="1"/>
    <col min="7935" max="7935" width="27.33203125" customWidth="1"/>
    <col min="7936" max="7936" width="10.109375" customWidth="1"/>
    <col min="7937" max="7937" width="9.88671875" customWidth="1"/>
    <col min="7940" max="7940" width="10" customWidth="1"/>
    <col min="7941" max="7941" width="10.6640625" customWidth="1"/>
    <col min="7942" max="7942" width="9.5546875" bestFit="1" customWidth="1"/>
    <col min="7943" max="7943" width="9.6640625" bestFit="1" customWidth="1"/>
    <col min="7944" max="7944" width="9.88671875" customWidth="1"/>
    <col min="7945" max="7946" width="9.6640625" bestFit="1" customWidth="1"/>
    <col min="7947" max="7947" width="10.33203125" customWidth="1"/>
    <col min="7948" max="7948" width="10.6640625" customWidth="1"/>
    <col min="7949" max="7949" width="10.88671875" customWidth="1"/>
    <col min="8191" max="8191" width="27.33203125" customWidth="1"/>
    <col min="8192" max="8192" width="10.109375" customWidth="1"/>
    <col min="8193" max="8193" width="9.88671875" customWidth="1"/>
    <col min="8196" max="8196" width="10" customWidth="1"/>
    <col min="8197" max="8197" width="10.6640625" customWidth="1"/>
    <col min="8198" max="8198" width="9.5546875" bestFit="1" customWidth="1"/>
    <col min="8199" max="8199" width="9.6640625" bestFit="1" customWidth="1"/>
    <col min="8200" max="8200" width="9.88671875" customWidth="1"/>
    <col min="8201" max="8202" width="9.6640625" bestFit="1" customWidth="1"/>
    <col min="8203" max="8203" width="10.33203125" customWidth="1"/>
    <col min="8204" max="8204" width="10.6640625" customWidth="1"/>
    <col min="8205" max="8205" width="10.88671875" customWidth="1"/>
    <col min="8447" max="8447" width="27.33203125" customWidth="1"/>
    <col min="8448" max="8448" width="10.109375" customWidth="1"/>
    <col min="8449" max="8449" width="9.88671875" customWidth="1"/>
    <col min="8452" max="8452" width="10" customWidth="1"/>
    <col min="8453" max="8453" width="10.6640625" customWidth="1"/>
    <col min="8454" max="8454" width="9.5546875" bestFit="1" customWidth="1"/>
    <col min="8455" max="8455" width="9.6640625" bestFit="1" customWidth="1"/>
    <col min="8456" max="8456" width="9.88671875" customWidth="1"/>
    <col min="8457" max="8458" width="9.6640625" bestFit="1" customWidth="1"/>
    <col min="8459" max="8459" width="10.33203125" customWidth="1"/>
    <col min="8460" max="8460" width="10.6640625" customWidth="1"/>
    <col min="8461" max="8461" width="10.88671875" customWidth="1"/>
    <col min="8703" max="8703" width="27.33203125" customWidth="1"/>
    <col min="8704" max="8704" width="10.109375" customWidth="1"/>
    <col min="8705" max="8705" width="9.88671875" customWidth="1"/>
    <col min="8708" max="8708" width="10" customWidth="1"/>
    <col min="8709" max="8709" width="10.6640625" customWidth="1"/>
    <col min="8710" max="8710" width="9.5546875" bestFit="1" customWidth="1"/>
    <col min="8711" max="8711" width="9.6640625" bestFit="1" customWidth="1"/>
    <col min="8712" max="8712" width="9.88671875" customWidth="1"/>
    <col min="8713" max="8714" width="9.6640625" bestFit="1" customWidth="1"/>
    <col min="8715" max="8715" width="10.33203125" customWidth="1"/>
    <col min="8716" max="8716" width="10.6640625" customWidth="1"/>
    <col min="8717" max="8717" width="10.88671875" customWidth="1"/>
    <col min="8959" max="8959" width="27.33203125" customWidth="1"/>
    <col min="8960" max="8960" width="10.109375" customWidth="1"/>
    <col min="8961" max="8961" width="9.88671875" customWidth="1"/>
    <col min="8964" max="8964" width="10" customWidth="1"/>
    <col min="8965" max="8965" width="10.6640625" customWidth="1"/>
    <col min="8966" max="8966" width="9.5546875" bestFit="1" customWidth="1"/>
    <col min="8967" max="8967" width="9.6640625" bestFit="1" customWidth="1"/>
    <col min="8968" max="8968" width="9.88671875" customWidth="1"/>
    <col min="8969" max="8970" width="9.6640625" bestFit="1" customWidth="1"/>
    <col min="8971" max="8971" width="10.33203125" customWidth="1"/>
    <col min="8972" max="8972" width="10.6640625" customWidth="1"/>
    <col min="8973" max="8973" width="10.88671875" customWidth="1"/>
    <col min="9215" max="9215" width="27.33203125" customWidth="1"/>
    <col min="9216" max="9216" width="10.109375" customWidth="1"/>
    <col min="9217" max="9217" width="9.88671875" customWidth="1"/>
    <col min="9220" max="9220" width="10" customWidth="1"/>
    <col min="9221" max="9221" width="10.6640625" customWidth="1"/>
    <col min="9222" max="9222" width="9.5546875" bestFit="1" customWidth="1"/>
    <col min="9223" max="9223" width="9.6640625" bestFit="1" customWidth="1"/>
    <col min="9224" max="9224" width="9.88671875" customWidth="1"/>
    <col min="9225" max="9226" width="9.6640625" bestFit="1" customWidth="1"/>
    <col min="9227" max="9227" width="10.33203125" customWidth="1"/>
    <col min="9228" max="9228" width="10.6640625" customWidth="1"/>
    <col min="9229" max="9229" width="10.88671875" customWidth="1"/>
    <col min="9471" max="9471" width="27.33203125" customWidth="1"/>
    <col min="9472" max="9472" width="10.109375" customWidth="1"/>
    <col min="9473" max="9473" width="9.88671875" customWidth="1"/>
    <col min="9476" max="9476" width="10" customWidth="1"/>
    <col min="9477" max="9477" width="10.6640625" customWidth="1"/>
    <col min="9478" max="9478" width="9.5546875" bestFit="1" customWidth="1"/>
    <col min="9479" max="9479" width="9.6640625" bestFit="1" customWidth="1"/>
    <col min="9480" max="9480" width="9.88671875" customWidth="1"/>
    <col min="9481" max="9482" width="9.6640625" bestFit="1" customWidth="1"/>
    <col min="9483" max="9483" width="10.33203125" customWidth="1"/>
    <col min="9484" max="9484" width="10.6640625" customWidth="1"/>
    <col min="9485" max="9485" width="10.88671875" customWidth="1"/>
    <col min="9727" max="9727" width="27.33203125" customWidth="1"/>
    <col min="9728" max="9728" width="10.109375" customWidth="1"/>
    <col min="9729" max="9729" width="9.88671875" customWidth="1"/>
    <col min="9732" max="9732" width="10" customWidth="1"/>
    <col min="9733" max="9733" width="10.6640625" customWidth="1"/>
    <col min="9734" max="9734" width="9.5546875" bestFit="1" customWidth="1"/>
    <col min="9735" max="9735" width="9.6640625" bestFit="1" customWidth="1"/>
    <col min="9736" max="9736" width="9.88671875" customWidth="1"/>
    <col min="9737" max="9738" width="9.6640625" bestFit="1" customWidth="1"/>
    <col min="9739" max="9739" width="10.33203125" customWidth="1"/>
    <col min="9740" max="9740" width="10.6640625" customWidth="1"/>
    <col min="9741" max="9741" width="10.88671875" customWidth="1"/>
    <col min="9983" max="9983" width="27.33203125" customWidth="1"/>
    <col min="9984" max="9984" width="10.109375" customWidth="1"/>
    <col min="9985" max="9985" width="9.88671875" customWidth="1"/>
    <col min="9988" max="9988" width="10" customWidth="1"/>
    <col min="9989" max="9989" width="10.6640625" customWidth="1"/>
    <col min="9990" max="9990" width="9.5546875" bestFit="1" customWidth="1"/>
    <col min="9991" max="9991" width="9.6640625" bestFit="1" customWidth="1"/>
    <col min="9992" max="9992" width="9.88671875" customWidth="1"/>
    <col min="9993" max="9994" width="9.6640625" bestFit="1" customWidth="1"/>
    <col min="9995" max="9995" width="10.33203125" customWidth="1"/>
    <col min="9996" max="9996" width="10.6640625" customWidth="1"/>
    <col min="9997" max="9997" width="10.88671875" customWidth="1"/>
    <col min="10239" max="10239" width="27.33203125" customWidth="1"/>
    <col min="10240" max="10240" width="10.109375" customWidth="1"/>
    <col min="10241" max="10241" width="9.88671875" customWidth="1"/>
    <col min="10244" max="10244" width="10" customWidth="1"/>
    <col min="10245" max="10245" width="10.6640625" customWidth="1"/>
    <col min="10246" max="10246" width="9.5546875" bestFit="1" customWidth="1"/>
    <col min="10247" max="10247" width="9.6640625" bestFit="1" customWidth="1"/>
    <col min="10248" max="10248" width="9.88671875" customWidth="1"/>
    <col min="10249" max="10250" width="9.6640625" bestFit="1" customWidth="1"/>
    <col min="10251" max="10251" width="10.33203125" customWidth="1"/>
    <col min="10252" max="10252" width="10.6640625" customWidth="1"/>
    <col min="10253" max="10253" width="10.88671875" customWidth="1"/>
    <col min="10495" max="10495" width="27.33203125" customWidth="1"/>
    <col min="10496" max="10496" width="10.109375" customWidth="1"/>
    <col min="10497" max="10497" width="9.88671875" customWidth="1"/>
    <col min="10500" max="10500" width="10" customWidth="1"/>
    <col min="10501" max="10501" width="10.6640625" customWidth="1"/>
    <col min="10502" max="10502" width="9.5546875" bestFit="1" customWidth="1"/>
    <col min="10503" max="10503" width="9.6640625" bestFit="1" customWidth="1"/>
    <col min="10504" max="10504" width="9.88671875" customWidth="1"/>
    <col min="10505" max="10506" width="9.6640625" bestFit="1" customWidth="1"/>
    <col min="10507" max="10507" width="10.33203125" customWidth="1"/>
    <col min="10508" max="10508" width="10.6640625" customWidth="1"/>
    <col min="10509" max="10509" width="10.88671875" customWidth="1"/>
    <col min="10751" max="10751" width="27.33203125" customWidth="1"/>
    <col min="10752" max="10752" width="10.109375" customWidth="1"/>
    <col min="10753" max="10753" width="9.88671875" customWidth="1"/>
    <col min="10756" max="10756" width="10" customWidth="1"/>
    <col min="10757" max="10757" width="10.6640625" customWidth="1"/>
    <col min="10758" max="10758" width="9.5546875" bestFit="1" customWidth="1"/>
    <col min="10759" max="10759" width="9.6640625" bestFit="1" customWidth="1"/>
    <col min="10760" max="10760" width="9.88671875" customWidth="1"/>
    <col min="10761" max="10762" width="9.6640625" bestFit="1" customWidth="1"/>
    <col min="10763" max="10763" width="10.33203125" customWidth="1"/>
    <col min="10764" max="10764" width="10.6640625" customWidth="1"/>
    <col min="10765" max="10765" width="10.88671875" customWidth="1"/>
    <col min="11007" max="11007" width="27.33203125" customWidth="1"/>
    <col min="11008" max="11008" width="10.109375" customWidth="1"/>
    <col min="11009" max="11009" width="9.88671875" customWidth="1"/>
    <col min="11012" max="11012" width="10" customWidth="1"/>
    <col min="11013" max="11013" width="10.6640625" customWidth="1"/>
    <col min="11014" max="11014" width="9.5546875" bestFit="1" customWidth="1"/>
    <col min="11015" max="11015" width="9.6640625" bestFit="1" customWidth="1"/>
    <col min="11016" max="11016" width="9.88671875" customWidth="1"/>
    <col min="11017" max="11018" width="9.6640625" bestFit="1" customWidth="1"/>
    <col min="11019" max="11019" width="10.33203125" customWidth="1"/>
    <col min="11020" max="11020" width="10.6640625" customWidth="1"/>
    <col min="11021" max="11021" width="10.88671875" customWidth="1"/>
    <col min="11263" max="11263" width="27.33203125" customWidth="1"/>
    <col min="11264" max="11264" width="10.109375" customWidth="1"/>
    <col min="11265" max="11265" width="9.88671875" customWidth="1"/>
    <col min="11268" max="11268" width="10" customWidth="1"/>
    <col min="11269" max="11269" width="10.6640625" customWidth="1"/>
    <col min="11270" max="11270" width="9.5546875" bestFit="1" customWidth="1"/>
    <col min="11271" max="11271" width="9.6640625" bestFit="1" customWidth="1"/>
    <col min="11272" max="11272" width="9.88671875" customWidth="1"/>
    <col min="11273" max="11274" width="9.6640625" bestFit="1" customWidth="1"/>
    <col min="11275" max="11275" width="10.33203125" customWidth="1"/>
    <col min="11276" max="11276" width="10.6640625" customWidth="1"/>
    <col min="11277" max="11277" width="10.88671875" customWidth="1"/>
    <col min="11519" max="11519" width="27.33203125" customWidth="1"/>
    <col min="11520" max="11520" width="10.109375" customWidth="1"/>
    <col min="11521" max="11521" width="9.88671875" customWidth="1"/>
    <col min="11524" max="11524" width="10" customWidth="1"/>
    <col min="11525" max="11525" width="10.6640625" customWidth="1"/>
    <col min="11526" max="11526" width="9.5546875" bestFit="1" customWidth="1"/>
    <col min="11527" max="11527" width="9.6640625" bestFit="1" customWidth="1"/>
    <col min="11528" max="11528" width="9.88671875" customWidth="1"/>
    <col min="11529" max="11530" width="9.6640625" bestFit="1" customWidth="1"/>
    <col min="11531" max="11531" width="10.33203125" customWidth="1"/>
    <col min="11532" max="11532" width="10.6640625" customWidth="1"/>
    <col min="11533" max="11533" width="10.88671875" customWidth="1"/>
    <col min="11775" max="11775" width="27.33203125" customWidth="1"/>
    <col min="11776" max="11776" width="10.109375" customWidth="1"/>
    <col min="11777" max="11777" width="9.88671875" customWidth="1"/>
    <col min="11780" max="11780" width="10" customWidth="1"/>
    <col min="11781" max="11781" width="10.6640625" customWidth="1"/>
    <col min="11782" max="11782" width="9.5546875" bestFit="1" customWidth="1"/>
    <col min="11783" max="11783" width="9.6640625" bestFit="1" customWidth="1"/>
    <col min="11784" max="11784" width="9.88671875" customWidth="1"/>
    <col min="11785" max="11786" width="9.6640625" bestFit="1" customWidth="1"/>
    <col min="11787" max="11787" width="10.33203125" customWidth="1"/>
    <col min="11788" max="11788" width="10.6640625" customWidth="1"/>
    <col min="11789" max="11789" width="10.88671875" customWidth="1"/>
    <col min="12031" max="12031" width="27.33203125" customWidth="1"/>
    <col min="12032" max="12032" width="10.109375" customWidth="1"/>
    <col min="12033" max="12033" width="9.88671875" customWidth="1"/>
    <col min="12036" max="12036" width="10" customWidth="1"/>
    <col min="12037" max="12037" width="10.6640625" customWidth="1"/>
    <col min="12038" max="12038" width="9.5546875" bestFit="1" customWidth="1"/>
    <col min="12039" max="12039" width="9.6640625" bestFit="1" customWidth="1"/>
    <col min="12040" max="12040" width="9.88671875" customWidth="1"/>
    <col min="12041" max="12042" width="9.6640625" bestFit="1" customWidth="1"/>
    <col min="12043" max="12043" width="10.33203125" customWidth="1"/>
    <col min="12044" max="12044" width="10.6640625" customWidth="1"/>
    <col min="12045" max="12045" width="10.88671875" customWidth="1"/>
    <col min="12287" max="12287" width="27.33203125" customWidth="1"/>
    <col min="12288" max="12288" width="10.109375" customWidth="1"/>
    <col min="12289" max="12289" width="9.88671875" customWidth="1"/>
    <col min="12292" max="12292" width="10" customWidth="1"/>
    <col min="12293" max="12293" width="10.6640625" customWidth="1"/>
    <col min="12294" max="12294" width="9.5546875" bestFit="1" customWidth="1"/>
    <col min="12295" max="12295" width="9.6640625" bestFit="1" customWidth="1"/>
    <col min="12296" max="12296" width="9.88671875" customWidth="1"/>
    <col min="12297" max="12298" width="9.6640625" bestFit="1" customWidth="1"/>
    <col min="12299" max="12299" width="10.33203125" customWidth="1"/>
    <col min="12300" max="12300" width="10.6640625" customWidth="1"/>
    <col min="12301" max="12301" width="10.88671875" customWidth="1"/>
    <col min="12543" max="12543" width="27.33203125" customWidth="1"/>
    <col min="12544" max="12544" width="10.109375" customWidth="1"/>
    <col min="12545" max="12545" width="9.88671875" customWidth="1"/>
    <col min="12548" max="12548" width="10" customWidth="1"/>
    <col min="12549" max="12549" width="10.6640625" customWidth="1"/>
    <col min="12550" max="12550" width="9.5546875" bestFit="1" customWidth="1"/>
    <col min="12551" max="12551" width="9.6640625" bestFit="1" customWidth="1"/>
    <col min="12552" max="12552" width="9.88671875" customWidth="1"/>
    <col min="12553" max="12554" width="9.6640625" bestFit="1" customWidth="1"/>
    <col min="12555" max="12555" width="10.33203125" customWidth="1"/>
    <col min="12556" max="12556" width="10.6640625" customWidth="1"/>
    <col min="12557" max="12557" width="10.88671875" customWidth="1"/>
    <col min="12799" max="12799" width="27.33203125" customWidth="1"/>
    <col min="12800" max="12800" width="10.109375" customWidth="1"/>
    <col min="12801" max="12801" width="9.88671875" customWidth="1"/>
    <col min="12804" max="12804" width="10" customWidth="1"/>
    <col min="12805" max="12805" width="10.6640625" customWidth="1"/>
    <col min="12806" max="12806" width="9.5546875" bestFit="1" customWidth="1"/>
    <col min="12807" max="12807" width="9.6640625" bestFit="1" customWidth="1"/>
    <col min="12808" max="12808" width="9.88671875" customWidth="1"/>
    <col min="12809" max="12810" width="9.6640625" bestFit="1" customWidth="1"/>
    <col min="12811" max="12811" width="10.33203125" customWidth="1"/>
    <col min="12812" max="12812" width="10.6640625" customWidth="1"/>
    <col min="12813" max="12813" width="10.88671875" customWidth="1"/>
    <col min="13055" max="13055" width="27.33203125" customWidth="1"/>
    <col min="13056" max="13056" width="10.109375" customWidth="1"/>
    <col min="13057" max="13057" width="9.88671875" customWidth="1"/>
    <col min="13060" max="13060" width="10" customWidth="1"/>
    <col min="13061" max="13061" width="10.6640625" customWidth="1"/>
    <col min="13062" max="13062" width="9.5546875" bestFit="1" customWidth="1"/>
    <col min="13063" max="13063" width="9.6640625" bestFit="1" customWidth="1"/>
    <col min="13064" max="13064" width="9.88671875" customWidth="1"/>
    <col min="13065" max="13066" width="9.6640625" bestFit="1" customWidth="1"/>
    <col min="13067" max="13067" width="10.33203125" customWidth="1"/>
    <col min="13068" max="13068" width="10.6640625" customWidth="1"/>
    <col min="13069" max="13069" width="10.88671875" customWidth="1"/>
    <col min="13311" max="13311" width="27.33203125" customWidth="1"/>
    <col min="13312" max="13312" width="10.109375" customWidth="1"/>
    <col min="13313" max="13313" width="9.88671875" customWidth="1"/>
    <col min="13316" max="13316" width="10" customWidth="1"/>
    <col min="13317" max="13317" width="10.6640625" customWidth="1"/>
    <col min="13318" max="13318" width="9.5546875" bestFit="1" customWidth="1"/>
    <col min="13319" max="13319" width="9.6640625" bestFit="1" customWidth="1"/>
    <col min="13320" max="13320" width="9.88671875" customWidth="1"/>
    <col min="13321" max="13322" width="9.6640625" bestFit="1" customWidth="1"/>
    <col min="13323" max="13323" width="10.33203125" customWidth="1"/>
    <col min="13324" max="13324" width="10.6640625" customWidth="1"/>
    <col min="13325" max="13325" width="10.88671875" customWidth="1"/>
    <col min="13567" max="13567" width="27.33203125" customWidth="1"/>
    <col min="13568" max="13568" width="10.109375" customWidth="1"/>
    <col min="13569" max="13569" width="9.88671875" customWidth="1"/>
    <col min="13572" max="13572" width="10" customWidth="1"/>
    <col min="13573" max="13573" width="10.6640625" customWidth="1"/>
    <col min="13574" max="13574" width="9.5546875" bestFit="1" customWidth="1"/>
    <col min="13575" max="13575" width="9.6640625" bestFit="1" customWidth="1"/>
    <col min="13576" max="13576" width="9.88671875" customWidth="1"/>
    <col min="13577" max="13578" width="9.6640625" bestFit="1" customWidth="1"/>
    <col min="13579" max="13579" width="10.33203125" customWidth="1"/>
    <col min="13580" max="13580" width="10.6640625" customWidth="1"/>
    <col min="13581" max="13581" width="10.88671875" customWidth="1"/>
    <col min="13823" max="13823" width="27.33203125" customWidth="1"/>
    <col min="13824" max="13824" width="10.109375" customWidth="1"/>
    <col min="13825" max="13825" width="9.88671875" customWidth="1"/>
    <col min="13828" max="13828" width="10" customWidth="1"/>
    <col min="13829" max="13829" width="10.6640625" customWidth="1"/>
    <col min="13830" max="13830" width="9.5546875" bestFit="1" customWidth="1"/>
    <col min="13831" max="13831" width="9.6640625" bestFit="1" customWidth="1"/>
    <col min="13832" max="13832" width="9.88671875" customWidth="1"/>
    <col min="13833" max="13834" width="9.6640625" bestFit="1" customWidth="1"/>
    <col min="13835" max="13835" width="10.33203125" customWidth="1"/>
    <col min="13836" max="13836" width="10.6640625" customWidth="1"/>
    <col min="13837" max="13837" width="10.88671875" customWidth="1"/>
    <col min="14079" max="14079" width="27.33203125" customWidth="1"/>
    <col min="14080" max="14080" width="10.109375" customWidth="1"/>
    <col min="14081" max="14081" width="9.88671875" customWidth="1"/>
    <col min="14084" max="14084" width="10" customWidth="1"/>
    <col min="14085" max="14085" width="10.6640625" customWidth="1"/>
    <col min="14086" max="14086" width="9.5546875" bestFit="1" customWidth="1"/>
    <col min="14087" max="14087" width="9.6640625" bestFit="1" customWidth="1"/>
    <col min="14088" max="14088" width="9.88671875" customWidth="1"/>
    <col min="14089" max="14090" width="9.6640625" bestFit="1" customWidth="1"/>
    <col min="14091" max="14091" width="10.33203125" customWidth="1"/>
    <col min="14092" max="14092" width="10.6640625" customWidth="1"/>
    <col min="14093" max="14093" width="10.88671875" customWidth="1"/>
    <col min="14335" max="14335" width="27.33203125" customWidth="1"/>
    <col min="14336" max="14336" width="10.109375" customWidth="1"/>
    <col min="14337" max="14337" width="9.88671875" customWidth="1"/>
    <col min="14340" max="14340" width="10" customWidth="1"/>
    <col min="14341" max="14341" width="10.6640625" customWidth="1"/>
    <col min="14342" max="14342" width="9.5546875" bestFit="1" customWidth="1"/>
    <col min="14343" max="14343" width="9.6640625" bestFit="1" customWidth="1"/>
    <col min="14344" max="14344" width="9.88671875" customWidth="1"/>
    <col min="14345" max="14346" width="9.6640625" bestFit="1" customWidth="1"/>
    <col min="14347" max="14347" width="10.33203125" customWidth="1"/>
    <col min="14348" max="14348" width="10.6640625" customWidth="1"/>
    <col min="14349" max="14349" width="10.88671875" customWidth="1"/>
    <col min="14591" max="14591" width="27.33203125" customWidth="1"/>
    <col min="14592" max="14592" width="10.109375" customWidth="1"/>
    <col min="14593" max="14593" width="9.88671875" customWidth="1"/>
    <col min="14596" max="14596" width="10" customWidth="1"/>
    <col min="14597" max="14597" width="10.6640625" customWidth="1"/>
    <col min="14598" max="14598" width="9.5546875" bestFit="1" customWidth="1"/>
    <col min="14599" max="14599" width="9.6640625" bestFit="1" customWidth="1"/>
    <col min="14600" max="14600" width="9.88671875" customWidth="1"/>
    <col min="14601" max="14602" width="9.6640625" bestFit="1" customWidth="1"/>
    <col min="14603" max="14603" width="10.33203125" customWidth="1"/>
    <col min="14604" max="14604" width="10.6640625" customWidth="1"/>
    <col min="14605" max="14605" width="10.88671875" customWidth="1"/>
    <col min="14847" max="14847" width="27.33203125" customWidth="1"/>
    <col min="14848" max="14848" width="10.109375" customWidth="1"/>
    <col min="14849" max="14849" width="9.88671875" customWidth="1"/>
    <col min="14852" max="14852" width="10" customWidth="1"/>
    <col min="14853" max="14853" width="10.6640625" customWidth="1"/>
    <col min="14854" max="14854" width="9.5546875" bestFit="1" customWidth="1"/>
    <col min="14855" max="14855" width="9.6640625" bestFit="1" customWidth="1"/>
    <col min="14856" max="14856" width="9.88671875" customWidth="1"/>
    <col min="14857" max="14858" width="9.6640625" bestFit="1" customWidth="1"/>
    <col min="14859" max="14859" width="10.33203125" customWidth="1"/>
    <col min="14860" max="14860" width="10.6640625" customWidth="1"/>
    <col min="14861" max="14861" width="10.88671875" customWidth="1"/>
    <col min="15103" max="15103" width="27.33203125" customWidth="1"/>
    <col min="15104" max="15104" width="10.109375" customWidth="1"/>
    <col min="15105" max="15105" width="9.88671875" customWidth="1"/>
    <col min="15108" max="15108" width="10" customWidth="1"/>
    <col min="15109" max="15109" width="10.6640625" customWidth="1"/>
    <col min="15110" max="15110" width="9.5546875" bestFit="1" customWidth="1"/>
    <col min="15111" max="15111" width="9.6640625" bestFit="1" customWidth="1"/>
    <col min="15112" max="15112" width="9.88671875" customWidth="1"/>
    <col min="15113" max="15114" width="9.6640625" bestFit="1" customWidth="1"/>
    <col min="15115" max="15115" width="10.33203125" customWidth="1"/>
    <col min="15116" max="15116" width="10.6640625" customWidth="1"/>
    <col min="15117" max="15117" width="10.88671875" customWidth="1"/>
    <col min="15359" max="15359" width="27.33203125" customWidth="1"/>
    <col min="15360" max="15360" width="10.109375" customWidth="1"/>
    <col min="15361" max="15361" width="9.88671875" customWidth="1"/>
    <col min="15364" max="15364" width="10" customWidth="1"/>
    <col min="15365" max="15365" width="10.6640625" customWidth="1"/>
    <col min="15366" max="15366" width="9.5546875" bestFit="1" customWidth="1"/>
    <col min="15367" max="15367" width="9.6640625" bestFit="1" customWidth="1"/>
    <col min="15368" max="15368" width="9.88671875" customWidth="1"/>
    <col min="15369" max="15370" width="9.6640625" bestFit="1" customWidth="1"/>
    <col min="15371" max="15371" width="10.33203125" customWidth="1"/>
    <col min="15372" max="15372" width="10.6640625" customWidth="1"/>
    <col min="15373" max="15373" width="10.88671875" customWidth="1"/>
    <col min="15615" max="15615" width="27.33203125" customWidth="1"/>
    <col min="15616" max="15616" width="10.109375" customWidth="1"/>
    <col min="15617" max="15617" width="9.88671875" customWidth="1"/>
    <col min="15620" max="15620" width="10" customWidth="1"/>
    <col min="15621" max="15621" width="10.6640625" customWidth="1"/>
    <col min="15622" max="15622" width="9.5546875" bestFit="1" customWidth="1"/>
    <col min="15623" max="15623" width="9.6640625" bestFit="1" customWidth="1"/>
    <col min="15624" max="15624" width="9.88671875" customWidth="1"/>
    <col min="15625" max="15626" width="9.6640625" bestFit="1" customWidth="1"/>
    <col min="15627" max="15627" width="10.33203125" customWidth="1"/>
    <col min="15628" max="15628" width="10.6640625" customWidth="1"/>
    <col min="15629" max="15629" width="10.88671875" customWidth="1"/>
    <col min="15871" max="15871" width="27.33203125" customWidth="1"/>
    <col min="15872" max="15872" width="10.109375" customWidth="1"/>
    <col min="15873" max="15873" width="9.88671875" customWidth="1"/>
    <col min="15876" max="15876" width="10" customWidth="1"/>
    <col min="15877" max="15877" width="10.6640625" customWidth="1"/>
    <col min="15878" max="15878" width="9.5546875" bestFit="1" customWidth="1"/>
    <col min="15879" max="15879" width="9.6640625" bestFit="1" customWidth="1"/>
    <col min="15880" max="15880" width="9.88671875" customWidth="1"/>
    <col min="15881" max="15882" width="9.6640625" bestFit="1" customWidth="1"/>
    <col min="15883" max="15883" width="10.33203125" customWidth="1"/>
    <col min="15884" max="15884" width="10.6640625" customWidth="1"/>
    <col min="15885" max="15885" width="10.88671875" customWidth="1"/>
    <col min="16127" max="16127" width="27.33203125" customWidth="1"/>
    <col min="16128" max="16128" width="10.109375" customWidth="1"/>
    <col min="16129" max="16129" width="9.88671875" customWidth="1"/>
    <col min="16132" max="16132" width="10" customWidth="1"/>
    <col min="16133" max="16133" width="10.6640625" customWidth="1"/>
    <col min="16134" max="16134" width="9.5546875" bestFit="1" customWidth="1"/>
    <col min="16135" max="16135" width="9.6640625" bestFit="1" customWidth="1"/>
    <col min="16136" max="16136" width="9.88671875" customWidth="1"/>
    <col min="16137" max="16138" width="9.6640625" bestFit="1" customWidth="1"/>
    <col min="16139" max="16139" width="10.33203125" customWidth="1"/>
    <col min="16140" max="16140" width="10.6640625" customWidth="1"/>
    <col min="16141" max="16141" width="10.88671875" customWidth="1"/>
  </cols>
  <sheetData>
    <row r="1" spans="1:20" x14ac:dyDescent="0.25">
      <c r="M1" s="3"/>
      <c r="N1" s="3" t="s">
        <v>207</v>
      </c>
      <c r="O1" s="216" t="s">
        <v>545</v>
      </c>
    </row>
    <row r="2" spans="1:20" x14ac:dyDescent="0.25">
      <c r="A2" s="3" t="s">
        <v>587</v>
      </c>
      <c r="B2" s="29"/>
      <c r="C2" s="29" t="s">
        <v>178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20" x14ac:dyDescent="0.25">
      <c r="A3" s="3"/>
      <c r="B3" s="29" t="s">
        <v>68</v>
      </c>
      <c r="C3" s="29" t="s">
        <v>69</v>
      </c>
      <c r="D3" s="29" t="s">
        <v>70</v>
      </c>
      <c r="E3" s="29" t="s">
        <v>71</v>
      </c>
      <c r="F3" s="29" t="s">
        <v>72</v>
      </c>
      <c r="G3" s="29" t="s">
        <v>73</v>
      </c>
      <c r="H3" s="29" t="s">
        <v>74</v>
      </c>
      <c r="I3" s="29" t="s">
        <v>75</v>
      </c>
      <c r="J3" s="29" t="s">
        <v>76</v>
      </c>
      <c r="K3" s="29" t="s">
        <v>77</v>
      </c>
      <c r="L3" s="29" t="s">
        <v>78</v>
      </c>
      <c r="M3" s="29" t="s">
        <v>79</v>
      </c>
      <c r="N3" s="29" t="s">
        <v>38</v>
      </c>
    </row>
    <row r="4" spans="1:20" ht="13.8" thickBot="1" x14ac:dyDescent="0.3">
      <c r="A4" s="62" t="s">
        <v>42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30"/>
    </row>
    <row r="5" spans="1:20" ht="20.100000000000001" customHeight="1" x14ac:dyDescent="0.25">
      <c r="A5" s="113" t="s">
        <v>80</v>
      </c>
      <c r="B5" s="88">
        <v>33488000</v>
      </c>
      <c r="C5" s="88">
        <v>33488000</v>
      </c>
      <c r="D5" s="88">
        <v>33488000</v>
      </c>
      <c r="E5" s="88">
        <v>33488000</v>
      </c>
      <c r="F5" s="88">
        <v>33488000</v>
      </c>
      <c r="G5" s="88">
        <v>33488000</v>
      </c>
      <c r="H5" s="88">
        <v>33488000</v>
      </c>
      <c r="I5" s="88">
        <v>33488000</v>
      </c>
      <c r="J5" s="88">
        <v>33488000</v>
      </c>
      <c r="K5" s="88">
        <v>33488000</v>
      </c>
      <c r="L5" s="88">
        <v>33488000</v>
      </c>
      <c r="M5" s="88">
        <v>33492000</v>
      </c>
      <c r="N5" s="89">
        <f>SUM(B5:M5)</f>
        <v>401860000</v>
      </c>
      <c r="O5" s="217">
        <f>Mérleg!C6</f>
        <v>401860000</v>
      </c>
      <c r="P5" s="217">
        <f>Mérleg!C6</f>
        <v>401860000</v>
      </c>
      <c r="Q5" s="219">
        <f>P5-N5</f>
        <v>0</v>
      </c>
      <c r="R5" s="219">
        <f>Q5-N5</f>
        <v>-401860000</v>
      </c>
      <c r="S5" s="217">
        <f>Q5/12</f>
        <v>0</v>
      </c>
    </row>
    <row r="6" spans="1:20" ht="20.100000000000001" customHeight="1" x14ac:dyDescent="0.25">
      <c r="A6" s="114" t="s">
        <v>81</v>
      </c>
      <c r="B6" s="87">
        <v>139609000</v>
      </c>
      <c r="C6" s="87">
        <v>139609000</v>
      </c>
      <c r="D6" s="87">
        <v>139609000</v>
      </c>
      <c r="E6" s="87">
        <v>139609000</v>
      </c>
      <c r="F6" s="87">
        <v>139609000</v>
      </c>
      <c r="G6" s="87">
        <v>139609000</v>
      </c>
      <c r="H6" s="87">
        <v>139609000</v>
      </c>
      <c r="I6" s="87">
        <v>139609000</v>
      </c>
      <c r="J6" s="87">
        <v>139609000</v>
      </c>
      <c r="K6" s="87">
        <v>139609000</v>
      </c>
      <c r="L6" s="87">
        <v>139609000</v>
      </c>
      <c r="M6" s="87">
        <v>139607482</v>
      </c>
      <c r="N6" s="90">
        <f t="shared" ref="N6" si="0">SUM(B6:M6)</f>
        <v>1675306482</v>
      </c>
      <c r="O6" s="217">
        <f>Mérleg!C7</f>
        <v>1675306481</v>
      </c>
      <c r="P6" s="217">
        <f>Mérleg!C7</f>
        <v>1675306481</v>
      </c>
      <c r="Q6" s="219">
        <f>P6-N6</f>
        <v>-1</v>
      </c>
      <c r="R6" s="219">
        <f>Q6-N6</f>
        <v>-1675306483</v>
      </c>
      <c r="S6" s="217">
        <f>R6/12</f>
        <v>-139608873.58333334</v>
      </c>
    </row>
    <row r="7" spans="1:20" ht="35.25" customHeight="1" x14ac:dyDescent="0.25">
      <c r="A7" s="348" t="s">
        <v>590</v>
      </c>
      <c r="B7" s="87">
        <v>2500000</v>
      </c>
      <c r="C7" s="87">
        <v>2500000</v>
      </c>
      <c r="D7" s="87">
        <v>2500000</v>
      </c>
      <c r="E7" s="87">
        <v>2500000</v>
      </c>
      <c r="F7" s="87">
        <v>20000000</v>
      </c>
      <c r="G7" s="87">
        <v>50000000</v>
      </c>
      <c r="H7" s="87">
        <v>20000000</v>
      </c>
      <c r="I7" s="87">
        <v>10000000</v>
      </c>
      <c r="J7" s="87">
        <v>20000000</v>
      </c>
      <c r="K7" s="87">
        <v>7000000</v>
      </c>
      <c r="L7" s="87">
        <v>7000000</v>
      </c>
      <c r="M7" s="87">
        <v>6000000</v>
      </c>
      <c r="N7" s="90">
        <f>SUM(B7:M7)</f>
        <v>150000000</v>
      </c>
      <c r="O7" s="217"/>
      <c r="P7" s="217">
        <f>Mérleg!C14</f>
        <v>150000000</v>
      </c>
      <c r="Q7" s="219">
        <f t="shared" ref="Q7:Q8" si="1">P7-N7</f>
        <v>0</v>
      </c>
      <c r="R7" s="219"/>
      <c r="S7" s="217"/>
    </row>
    <row r="8" spans="1:20" ht="20.100000000000001" customHeight="1" x14ac:dyDescent="0.25">
      <c r="A8" s="114" t="s">
        <v>214</v>
      </c>
      <c r="B8" s="87">
        <v>0</v>
      </c>
      <c r="C8" s="87">
        <f>Mérleg!C18</f>
        <v>135496606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90">
        <f>SUM(B8:M8)</f>
        <v>135496606</v>
      </c>
      <c r="O8" s="217">
        <f>Mérleg!C18</f>
        <v>135496606</v>
      </c>
      <c r="P8" s="217">
        <f>Mérleg!C18</f>
        <v>135496606</v>
      </c>
      <c r="Q8" s="219">
        <f t="shared" si="1"/>
        <v>0</v>
      </c>
      <c r="R8" s="219">
        <f t="shared" ref="R8" si="2">Q8-N8</f>
        <v>-135496606</v>
      </c>
    </row>
    <row r="9" spans="1:20" ht="20.100000000000001" customHeight="1" thickBot="1" x14ac:dyDescent="0.3">
      <c r="A9" s="91" t="s">
        <v>82</v>
      </c>
      <c r="B9" s="92">
        <f>SUM(B5:B8)</f>
        <v>175597000</v>
      </c>
      <c r="C9" s="92">
        <f>SUM(C5:C8)</f>
        <v>311093606</v>
      </c>
      <c r="D9" s="92">
        <f>SUM(D5:D8)</f>
        <v>175597000</v>
      </c>
      <c r="E9" s="92">
        <f t="shared" ref="E9:M9" si="3">SUM(E5:E8)</f>
        <v>175597000</v>
      </c>
      <c r="F9" s="92">
        <f t="shared" si="3"/>
        <v>193097000</v>
      </c>
      <c r="G9" s="92">
        <f t="shared" si="3"/>
        <v>223097000</v>
      </c>
      <c r="H9" s="92">
        <f t="shared" si="3"/>
        <v>193097000</v>
      </c>
      <c r="I9" s="92">
        <f t="shared" si="3"/>
        <v>183097000</v>
      </c>
      <c r="J9" s="92">
        <f t="shared" si="3"/>
        <v>193097000</v>
      </c>
      <c r="K9" s="92">
        <f t="shared" si="3"/>
        <v>180097000</v>
      </c>
      <c r="L9" s="92">
        <f t="shared" si="3"/>
        <v>180097000</v>
      </c>
      <c r="M9" s="92">
        <f t="shared" si="3"/>
        <v>179099482</v>
      </c>
      <c r="N9" s="92">
        <f>SUM(N5:N8)</f>
        <v>2362663088</v>
      </c>
      <c r="O9" s="217">
        <f>SUM(N5:N8)</f>
        <v>2362663088</v>
      </c>
      <c r="P9" s="217">
        <f t="shared" ref="P9:P10" si="4">O9-N9</f>
        <v>0</v>
      </c>
      <c r="Q9" s="219">
        <f>SUM(Q5:Q8)</f>
        <v>-1</v>
      </c>
      <c r="R9" s="219">
        <f>Mérleg!C27</f>
        <v>2362663087</v>
      </c>
      <c r="S9" s="217">
        <f>R9-Q9</f>
        <v>2362663088</v>
      </c>
    </row>
    <row r="10" spans="1:20" ht="20.100000000000001" customHeight="1" thickBot="1" x14ac:dyDescent="0.3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30"/>
      <c r="O10" s="217"/>
      <c r="P10" s="217">
        <f t="shared" si="4"/>
        <v>0</v>
      </c>
    </row>
    <row r="11" spans="1:20" ht="20.100000000000001" customHeight="1" x14ac:dyDescent="0.25">
      <c r="A11" s="113" t="s">
        <v>43</v>
      </c>
      <c r="B11" s="88">
        <v>97400000</v>
      </c>
      <c r="C11" s="88">
        <v>97400000</v>
      </c>
      <c r="D11" s="88">
        <v>97400000</v>
      </c>
      <c r="E11" s="88">
        <v>97400000</v>
      </c>
      <c r="F11" s="88">
        <v>97400000</v>
      </c>
      <c r="G11" s="88">
        <v>97400000</v>
      </c>
      <c r="H11" s="88">
        <f>97400000+45175000</f>
        <v>142575000</v>
      </c>
      <c r="I11" s="88">
        <v>97400000</v>
      </c>
      <c r="J11" s="88">
        <v>97400000</v>
      </c>
      <c r="K11" s="88">
        <v>97400000</v>
      </c>
      <c r="L11" s="88">
        <v>97400000</v>
      </c>
      <c r="M11" s="88">
        <v>97400000</v>
      </c>
      <c r="N11" s="89">
        <f>SUM(B11:M11)</f>
        <v>1213975000</v>
      </c>
      <c r="O11" s="217">
        <f>P11-N11</f>
        <v>0</v>
      </c>
      <c r="P11" s="217">
        <f>'Működési kiadások'!E101</f>
        <v>1213975000</v>
      </c>
      <c r="Q11" s="219">
        <f>'Működési kiadások'!E18+'Működési kiadások'!E41</f>
        <v>1213975000</v>
      </c>
      <c r="R11" s="219">
        <f>Q11/13</f>
        <v>93382692.307692304</v>
      </c>
      <c r="S11" s="277">
        <f>Q11-N11</f>
        <v>0</v>
      </c>
      <c r="T11" s="278">
        <f>S11/2</f>
        <v>0</v>
      </c>
    </row>
    <row r="12" spans="1:20" ht="20.100000000000001" customHeight="1" x14ac:dyDescent="0.25">
      <c r="A12" s="114" t="s">
        <v>44</v>
      </c>
      <c r="B12" s="87">
        <f>B11*0.13</f>
        <v>12662000</v>
      </c>
      <c r="C12" s="87">
        <f t="shared" ref="C12:L12" si="5">C11*0.13</f>
        <v>12662000</v>
      </c>
      <c r="D12" s="87">
        <f>D11*0.13+4665000</f>
        <v>17327000</v>
      </c>
      <c r="E12" s="87">
        <f t="shared" si="5"/>
        <v>12662000</v>
      </c>
      <c r="F12" s="87">
        <f t="shared" si="5"/>
        <v>12662000</v>
      </c>
      <c r="G12" s="87">
        <f>G11*0.13+4665000</f>
        <v>17327000</v>
      </c>
      <c r="H12" s="87">
        <f t="shared" si="5"/>
        <v>18534750</v>
      </c>
      <c r="I12" s="87">
        <f t="shared" si="5"/>
        <v>12662000</v>
      </c>
      <c r="J12" s="87">
        <f>J11*0.13+4665000</f>
        <v>17327000</v>
      </c>
      <c r="K12" s="87">
        <f t="shared" si="5"/>
        <v>12662000</v>
      </c>
      <c r="L12" s="87">
        <f t="shared" si="5"/>
        <v>12662000</v>
      </c>
      <c r="M12" s="87">
        <f>M11*0.13+4665000-1110</f>
        <v>17325890</v>
      </c>
      <c r="N12" s="90">
        <f t="shared" ref="N12:N18" si="6">SUM(B12:M12)</f>
        <v>176475640</v>
      </c>
      <c r="O12" s="217">
        <f>P12-N12</f>
        <v>0</v>
      </c>
      <c r="P12" s="217">
        <f>'Működési kiadások'!F101</f>
        <v>176475640</v>
      </c>
      <c r="Q12" s="219">
        <f>'Működési kiadások'!F18+'Működési kiadások'!F41</f>
        <v>176475640</v>
      </c>
      <c r="R12" s="219">
        <f>Q12/13</f>
        <v>13575049.23076923</v>
      </c>
      <c r="S12" s="277">
        <f>Q12-N12</f>
        <v>0</v>
      </c>
      <c r="T12" s="278">
        <f>S12/2</f>
        <v>0</v>
      </c>
    </row>
    <row r="13" spans="1:20" ht="20.100000000000001" customHeight="1" x14ac:dyDescent="0.25">
      <c r="A13" s="114" t="s">
        <v>45</v>
      </c>
      <c r="B13" s="87">
        <v>58200000</v>
      </c>
      <c r="C13" s="87">
        <v>58200000</v>
      </c>
      <c r="D13" s="87">
        <v>58200000</v>
      </c>
      <c r="E13" s="87">
        <v>58200000</v>
      </c>
      <c r="F13" s="87">
        <v>58200000</v>
      </c>
      <c r="G13" s="87">
        <v>58200000</v>
      </c>
      <c r="H13" s="87">
        <v>58200000</v>
      </c>
      <c r="I13" s="87">
        <v>58200000</v>
      </c>
      <c r="J13" s="87">
        <v>58200000</v>
      </c>
      <c r="K13" s="87">
        <v>58200000</v>
      </c>
      <c r="L13" s="87">
        <f>58200000+458457</f>
        <v>58658457</v>
      </c>
      <c r="M13" s="87">
        <f>58200000-50000</f>
        <v>58150000</v>
      </c>
      <c r="N13" s="90">
        <f>SUM(B13:M13)</f>
        <v>698808457</v>
      </c>
      <c r="O13" s="217">
        <f>P13-N13</f>
        <v>0</v>
      </c>
      <c r="P13" s="217">
        <f>'Működési kiadások'!G101</f>
        <v>698808457</v>
      </c>
      <c r="Q13" s="219">
        <f>'Működési kiadások'!G18+'Működési kiadások'!G41</f>
        <v>698808457</v>
      </c>
      <c r="R13" s="219">
        <f>Q13/12</f>
        <v>58234038.083333336</v>
      </c>
      <c r="S13" s="217"/>
    </row>
    <row r="14" spans="1:20" ht="20.100000000000001" customHeight="1" x14ac:dyDescent="0.25">
      <c r="A14" s="114" t="s">
        <v>193</v>
      </c>
      <c r="B14" s="87">
        <f>92000-4000</f>
        <v>88000</v>
      </c>
      <c r="C14" s="87">
        <v>92000</v>
      </c>
      <c r="D14" s="87">
        <v>92000</v>
      </c>
      <c r="E14" s="87">
        <v>92000</v>
      </c>
      <c r="F14" s="87">
        <v>92000</v>
      </c>
      <c r="G14" s="87">
        <v>92000</v>
      </c>
      <c r="H14" s="87">
        <v>92000</v>
      </c>
      <c r="I14" s="87">
        <v>92000</v>
      </c>
      <c r="J14" s="87">
        <v>92000</v>
      </c>
      <c r="K14" s="87">
        <v>92000</v>
      </c>
      <c r="L14" s="87">
        <v>92000</v>
      </c>
      <c r="M14" s="87">
        <v>92000</v>
      </c>
      <c r="N14" s="90">
        <f t="shared" si="6"/>
        <v>1100000</v>
      </c>
      <c r="O14" s="217">
        <f>'Működési kiadások'!J101-Finanszírozás!N14</f>
        <v>0</v>
      </c>
      <c r="P14" s="217">
        <f>'Működési kiadások'!J101</f>
        <v>1100000</v>
      </c>
      <c r="Q14" s="219">
        <f>'Működési kiadások'!J18</f>
        <v>1100000</v>
      </c>
      <c r="R14" s="219">
        <f>Q14/12</f>
        <v>91666.666666666672</v>
      </c>
      <c r="S14" s="217"/>
    </row>
    <row r="15" spans="1:20" ht="20.100000000000001" customHeight="1" x14ac:dyDescent="0.25">
      <c r="A15" s="114" t="s">
        <v>83</v>
      </c>
      <c r="B15" s="87">
        <v>300000</v>
      </c>
      <c r="C15" s="87">
        <v>300000</v>
      </c>
      <c r="D15" s="87">
        <v>300000</v>
      </c>
      <c r="E15" s="87">
        <v>300000</v>
      </c>
      <c r="F15" s="87">
        <v>300000</v>
      </c>
      <c r="G15" s="87">
        <f>300000+10700000</f>
        <v>11000000</v>
      </c>
      <c r="H15" s="87">
        <v>300000</v>
      </c>
      <c r="I15" s="87">
        <v>300000</v>
      </c>
      <c r="J15" s="87">
        <v>300000</v>
      </c>
      <c r="K15" s="87">
        <v>300000</v>
      </c>
      <c r="L15" s="87">
        <v>300000</v>
      </c>
      <c r="M15" s="87">
        <v>300000</v>
      </c>
      <c r="N15" s="90">
        <f t="shared" si="6"/>
        <v>14300000</v>
      </c>
      <c r="O15" s="217">
        <f>P15-N15</f>
        <v>0</v>
      </c>
      <c r="P15" s="217">
        <f>'Működési kiadások'!H101</f>
        <v>14300000</v>
      </c>
      <c r="Q15" s="219">
        <f>'Működési kiadások'!H41</f>
        <v>14300000</v>
      </c>
      <c r="R15" s="219">
        <f>Q15/12</f>
        <v>1191666.6666666667</v>
      </c>
      <c r="S15" s="217"/>
    </row>
    <row r="16" spans="1:20" ht="20.100000000000001" customHeight="1" x14ac:dyDescent="0.25">
      <c r="A16" s="114" t="s">
        <v>84</v>
      </c>
      <c r="B16" s="87">
        <v>0</v>
      </c>
      <c r="C16" s="87">
        <v>0</v>
      </c>
      <c r="D16" s="87">
        <v>0</v>
      </c>
      <c r="E16" s="87">
        <v>0</v>
      </c>
      <c r="F16" s="87">
        <v>850000</v>
      </c>
      <c r="G16" s="87">
        <v>0</v>
      </c>
      <c r="H16" s="87">
        <v>0</v>
      </c>
      <c r="I16" s="87">
        <v>0</v>
      </c>
      <c r="J16" s="87">
        <v>0</v>
      </c>
      <c r="K16" s="87">
        <v>0</v>
      </c>
      <c r="L16" s="87">
        <v>0</v>
      </c>
      <c r="M16" s="87">
        <v>0</v>
      </c>
      <c r="N16" s="90">
        <f>SUM(B16:M16)</f>
        <v>850000</v>
      </c>
      <c r="O16" s="217">
        <f>'Működési kiadások'!I101-Finanszírozás!N16</f>
        <v>0</v>
      </c>
      <c r="P16" s="217">
        <f>'Működési kiadások'!I101</f>
        <v>850000</v>
      </c>
      <c r="Q16" s="219">
        <f>'Működési kiadások'!I41</f>
        <v>850000</v>
      </c>
      <c r="R16" s="219">
        <f>Q16-N16</f>
        <v>0</v>
      </c>
    </row>
    <row r="17" spans="1:19" ht="20.100000000000001" customHeight="1" x14ac:dyDescent="0.25">
      <c r="A17" s="114" t="s">
        <v>85</v>
      </c>
      <c r="B17" s="87">
        <v>0</v>
      </c>
      <c r="C17" s="87">
        <v>1500000</v>
      </c>
      <c r="D17" s="87">
        <v>5767705</v>
      </c>
      <c r="E17" s="87">
        <v>50000000</v>
      </c>
      <c r="F17" s="87">
        <v>5016500</v>
      </c>
      <c r="G17" s="87">
        <v>50000000</v>
      </c>
      <c r="H17" s="87">
        <v>5000000</v>
      </c>
      <c r="I17" s="87">
        <v>0</v>
      </c>
      <c r="J17" s="87">
        <v>1120855</v>
      </c>
      <c r="K17" s="87">
        <v>42610619</v>
      </c>
      <c r="L17" s="87">
        <v>3005176</v>
      </c>
      <c r="M17" s="87">
        <v>0</v>
      </c>
      <c r="N17" s="90">
        <f>SUM(B17:M17)</f>
        <v>164020855</v>
      </c>
      <c r="O17" s="217">
        <f>P17-N17</f>
        <v>-1</v>
      </c>
      <c r="P17" s="217">
        <f>'Felhalmozási kiadások'!I24</f>
        <v>164020854</v>
      </c>
      <c r="Q17" s="219">
        <f>'Felhalmozási kiadások'!I24</f>
        <v>164020854</v>
      </c>
      <c r="R17" s="219">
        <f>Q17/12</f>
        <v>13668404.5</v>
      </c>
      <c r="S17" s="217">
        <f>Q17-N17</f>
        <v>-1</v>
      </c>
    </row>
    <row r="18" spans="1:19" ht="20.100000000000001" customHeight="1" x14ac:dyDescent="0.25">
      <c r="A18" s="114" t="s">
        <v>89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>
        <f>93083136+50000</f>
        <v>93133136</v>
      </c>
      <c r="N18" s="90">
        <f t="shared" si="6"/>
        <v>93133136</v>
      </c>
      <c r="O18" s="217">
        <f>'Működési kiadások'!K84-Finanszírozás!N18</f>
        <v>0</v>
      </c>
      <c r="P18" s="217">
        <f>'Működési kiadások'!K101</f>
        <v>93133136</v>
      </c>
      <c r="Q18" s="219">
        <f>'Működési kiadások'!K41</f>
        <v>93133136</v>
      </c>
      <c r="R18" s="219">
        <f>Q18-N18</f>
        <v>0</v>
      </c>
      <c r="S18" s="217"/>
    </row>
    <row r="19" spans="1:19" ht="20.100000000000001" customHeight="1" thickBot="1" x14ac:dyDescent="0.3">
      <c r="A19" s="91" t="s">
        <v>86</v>
      </c>
      <c r="B19" s="92">
        <f t="shared" ref="B19:Q19" si="7">SUM(B11:B18)</f>
        <v>168650000</v>
      </c>
      <c r="C19" s="92">
        <f t="shared" si="7"/>
        <v>170154000</v>
      </c>
      <c r="D19" s="92">
        <f t="shared" si="7"/>
        <v>179086705</v>
      </c>
      <c r="E19" s="92">
        <f t="shared" si="7"/>
        <v>218654000</v>
      </c>
      <c r="F19" s="92">
        <f t="shared" si="7"/>
        <v>174520500</v>
      </c>
      <c r="G19" s="92">
        <f t="shared" si="7"/>
        <v>234019000</v>
      </c>
      <c r="H19" s="92">
        <f t="shared" si="7"/>
        <v>224701750</v>
      </c>
      <c r="I19" s="92">
        <f t="shared" si="7"/>
        <v>168654000</v>
      </c>
      <c r="J19" s="92">
        <f t="shared" si="7"/>
        <v>174439855</v>
      </c>
      <c r="K19" s="92">
        <f t="shared" si="7"/>
        <v>211264619</v>
      </c>
      <c r="L19" s="92">
        <f t="shared" si="7"/>
        <v>172117633</v>
      </c>
      <c r="M19" s="92">
        <f t="shared" si="7"/>
        <v>266401026</v>
      </c>
      <c r="N19" s="211">
        <f t="shared" si="7"/>
        <v>2362663088</v>
      </c>
      <c r="O19" s="217">
        <f t="shared" si="7"/>
        <v>-1</v>
      </c>
      <c r="P19" s="217">
        <f>SUM(P11:P18)</f>
        <v>2362663087</v>
      </c>
      <c r="Q19" s="219">
        <f t="shared" si="7"/>
        <v>2362663087</v>
      </c>
      <c r="R19" s="219">
        <f>Mérleg!O29</f>
        <v>2362663087</v>
      </c>
      <c r="S19" s="217">
        <f>R19-Q19</f>
        <v>0</v>
      </c>
    </row>
    <row r="20" spans="1:19" ht="20.100000000000001" customHeight="1" x14ac:dyDescent="0.25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30" t="s">
        <v>42</v>
      </c>
      <c r="P20" s="8"/>
    </row>
    <row r="21" spans="1:19" ht="20.100000000000001" customHeight="1" x14ac:dyDescent="0.25">
      <c r="A21" s="62" t="s">
        <v>87</v>
      </c>
      <c r="B21" s="63">
        <f t="shared" ref="B21:N21" si="8">B9-B19</f>
        <v>6947000</v>
      </c>
      <c r="C21" s="63">
        <f t="shared" si="8"/>
        <v>140939606</v>
      </c>
      <c r="D21" s="63">
        <f t="shared" si="8"/>
        <v>-3489705</v>
      </c>
      <c r="E21" s="63">
        <f t="shared" si="8"/>
        <v>-43057000</v>
      </c>
      <c r="F21" s="63">
        <f t="shared" si="8"/>
        <v>18576500</v>
      </c>
      <c r="G21" s="63">
        <f t="shared" si="8"/>
        <v>-10922000</v>
      </c>
      <c r="H21" s="63">
        <f t="shared" si="8"/>
        <v>-31604750</v>
      </c>
      <c r="I21" s="63">
        <f t="shared" si="8"/>
        <v>14443000</v>
      </c>
      <c r="J21" s="63">
        <f t="shared" si="8"/>
        <v>18657145</v>
      </c>
      <c r="K21" s="63">
        <f t="shared" si="8"/>
        <v>-31167619</v>
      </c>
      <c r="L21" s="63">
        <f t="shared" si="8"/>
        <v>7979367</v>
      </c>
      <c r="M21" s="63">
        <f t="shared" si="8"/>
        <v>-87301544</v>
      </c>
      <c r="N21" s="63">
        <f t="shared" si="8"/>
        <v>0</v>
      </c>
      <c r="P21" s="8"/>
      <c r="Q21" s="219"/>
    </row>
    <row r="22" spans="1:19" ht="20.100000000000001" customHeight="1" x14ac:dyDescent="0.25">
      <c r="A22" s="55" t="s">
        <v>88</v>
      </c>
      <c r="B22" s="30">
        <f>B21</f>
        <v>6947000</v>
      </c>
      <c r="C22" s="30">
        <f>B22+C21</f>
        <v>147886606</v>
      </c>
      <c r="D22" s="30">
        <f t="shared" ref="D22:M22" si="9">C22+D21</f>
        <v>144396901</v>
      </c>
      <c r="E22" s="30">
        <f t="shared" si="9"/>
        <v>101339901</v>
      </c>
      <c r="F22" s="30">
        <f t="shared" si="9"/>
        <v>119916401</v>
      </c>
      <c r="G22" s="30">
        <f t="shared" si="9"/>
        <v>108994401</v>
      </c>
      <c r="H22" s="30">
        <f t="shared" si="9"/>
        <v>77389651</v>
      </c>
      <c r="I22" s="30">
        <f t="shared" si="9"/>
        <v>91832651</v>
      </c>
      <c r="J22" s="30">
        <f t="shared" si="9"/>
        <v>110489796</v>
      </c>
      <c r="K22" s="30">
        <f t="shared" si="9"/>
        <v>79322177</v>
      </c>
      <c r="L22" s="30">
        <f>K22+L21</f>
        <v>87301544</v>
      </c>
      <c r="M22" s="30">
        <f t="shared" si="9"/>
        <v>0</v>
      </c>
      <c r="N22" s="63"/>
      <c r="P22" s="8"/>
    </row>
    <row r="23" spans="1:19" x14ac:dyDescent="0.25">
      <c r="A23" s="8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3"/>
      <c r="M23" s="64"/>
      <c r="N23" s="64"/>
    </row>
    <row r="26" spans="1:19" x14ac:dyDescent="0.25">
      <c r="N26" s="4"/>
    </row>
  </sheetData>
  <pageMargins left="0.74803149606299213" right="0.74803149606299213" top="0.98425196850393704" bottom="0.98425196850393704" header="0.51181102362204722" footer="0.51181102362204722"/>
  <pageSetup paperSize="8" scale="89" orientation="landscape" r:id="rId1"/>
  <headerFooter alignWithMargins="0">
    <oddHeader>&amp;C&amp;"Arial,Félkövér"Likviditási ütemterv
Mosonmagyaróvár Város Önkormányzata</oddHeader>
  </headerFooter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21"/>
  <sheetViews>
    <sheetView topLeftCell="A20" zoomScaleNormal="100" workbookViewId="0">
      <selection activeCell="E23" sqref="E23"/>
    </sheetView>
  </sheetViews>
  <sheetFormatPr defaultRowHeight="13.2" x14ac:dyDescent="0.25"/>
  <cols>
    <col min="1" max="1" width="31.6640625" customWidth="1"/>
    <col min="2" max="2" width="14.88671875" customWidth="1"/>
    <col min="3" max="3" width="18" customWidth="1"/>
    <col min="4" max="4" width="14.6640625" customWidth="1"/>
    <col min="5" max="5" width="16.44140625" customWidth="1"/>
    <col min="258" max="258" width="31.6640625" customWidth="1"/>
    <col min="259" max="261" width="10.109375" bestFit="1" customWidth="1"/>
    <col min="514" max="514" width="31.6640625" customWidth="1"/>
    <col min="515" max="517" width="10.109375" bestFit="1" customWidth="1"/>
    <col min="770" max="770" width="31.6640625" customWidth="1"/>
    <col min="771" max="773" width="10.109375" bestFit="1" customWidth="1"/>
    <col min="1026" max="1026" width="31.6640625" customWidth="1"/>
    <col min="1027" max="1029" width="10.109375" bestFit="1" customWidth="1"/>
    <col min="1282" max="1282" width="31.6640625" customWidth="1"/>
    <col min="1283" max="1285" width="10.109375" bestFit="1" customWidth="1"/>
    <col min="1538" max="1538" width="31.6640625" customWidth="1"/>
    <col min="1539" max="1541" width="10.109375" bestFit="1" customWidth="1"/>
    <col min="1794" max="1794" width="31.6640625" customWidth="1"/>
    <col min="1795" max="1797" width="10.109375" bestFit="1" customWidth="1"/>
    <col min="2050" max="2050" width="31.6640625" customWidth="1"/>
    <col min="2051" max="2053" width="10.109375" bestFit="1" customWidth="1"/>
    <col min="2306" max="2306" width="31.6640625" customWidth="1"/>
    <col min="2307" max="2309" width="10.109375" bestFit="1" customWidth="1"/>
    <col min="2562" max="2562" width="31.6640625" customWidth="1"/>
    <col min="2563" max="2565" width="10.109375" bestFit="1" customWidth="1"/>
    <col min="2818" max="2818" width="31.6640625" customWidth="1"/>
    <col min="2819" max="2821" width="10.109375" bestFit="1" customWidth="1"/>
    <col min="3074" max="3074" width="31.6640625" customWidth="1"/>
    <col min="3075" max="3077" width="10.109375" bestFit="1" customWidth="1"/>
    <col min="3330" max="3330" width="31.6640625" customWidth="1"/>
    <col min="3331" max="3333" width="10.109375" bestFit="1" customWidth="1"/>
    <col min="3586" max="3586" width="31.6640625" customWidth="1"/>
    <col min="3587" max="3589" width="10.109375" bestFit="1" customWidth="1"/>
    <col min="3842" max="3842" width="31.6640625" customWidth="1"/>
    <col min="3843" max="3845" width="10.109375" bestFit="1" customWidth="1"/>
    <col min="4098" max="4098" width="31.6640625" customWidth="1"/>
    <col min="4099" max="4101" width="10.109375" bestFit="1" customWidth="1"/>
    <col min="4354" max="4354" width="31.6640625" customWidth="1"/>
    <col min="4355" max="4357" width="10.109375" bestFit="1" customWidth="1"/>
    <col min="4610" max="4610" width="31.6640625" customWidth="1"/>
    <col min="4611" max="4613" width="10.109375" bestFit="1" customWidth="1"/>
    <col min="4866" max="4866" width="31.6640625" customWidth="1"/>
    <col min="4867" max="4869" width="10.109375" bestFit="1" customWidth="1"/>
    <col min="5122" max="5122" width="31.6640625" customWidth="1"/>
    <col min="5123" max="5125" width="10.109375" bestFit="1" customWidth="1"/>
    <col min="5378" max="5378" width="31.6640625" customWidth="1"/>
    <col min="5379" max="5381" width="10.109375" bestFit="1" customWidth="1"/>
    <col min="5634" max="5634" width="31.6640625" customWidth="1"/>
    <col min="5635" max="5637" width="10.109375" bestFit="1" customWidth="1"/>
    <col min="5890" max="5890" width="31.6640625" customWidth="1"/>
    <col min="5891" max="5893" width="10.109375" bestFit="1" customWidth="1"/>
    <col min="6146" max="6146" width="31.6640625" customWidth="1"/>
    <col min="6147" max="6149" width="10.109375" bestFit="1" customWidth="1"/>
    <col min="6402" max="6402" width="31.6640625" customWidth="1"/>
    <col min="6403" max="6405" width="10.109375" bestFit="1" customWidth="1"/>
    <col min="6658" max="6658" width="31.6640625" customWidth="1"/>
    <col min="6659" max="6661" width="10.109375" bestFit="1" customWidth="1"/>
    <col min="6914" max="6914" width="31.6640625" customWidth="1"/>
    <col min="6915" max="6917" width="10.109375" bestFit="1" customWidth="1"/>
    <col min="7170" max="7170" width="31.6640625" customWidth="1"/>
    <col min="7171" max="7173" width="10.109375" bestFit="1" customWidth="1"/>
    <col min="7426" max="7426" width="31.6640625" customWidth="1"/>
    <col min="7427" max="7429" width="10.109375" bestFit="1" customWidth="1"/>
    <col min="7682" max="7682" width="31.6640625" customWidth="1"/>
    <col min="7683" max="7685" width="10.109375" bestFit="1" customWidth="1"/>
    <col min="7938" max="7938" width="31.6640625" customWidth="1"/>
    <col min="7939" max="7941" width="10.109375" bestFit="1" customWidth="1"/>
    <col min="8194" max="8194" width="31.6640625" customWidth="1"/>
    <col min="8195" max="8197" width="10.109375" bestFit="1" customWidth="1"/>
    <col min="8450" max="8450" width="31.6640625" customWidth="1"/>
    <col min="8451" max="8453" width="10.109375" bestFit="1" customWidth="1"/>
    <col min="8706" max="8706" width="31.6640625" customWidth="1"/>
    <col min="8707" max="8709" width="10.109375" bestFit="1" customWidth="1"/>
    <col min="8962" max="8962" width="31.6640625" customWidth="1"/>
    <col min="8963" max="8965" width="10.109375" bestFit="1" customWidth="1"/>
    <col min="9218" max="9218" width="31.6640625" customWidth="1"/>
    <col min="9219" max="9221" width="10.109375" bestFit="1" customWidth="1"/>
    <col min="9474" max="9474" width="31.6640625" customWidth="1"/>
    <col min="9475" max="9477" width="10.109375" bestFit="1" customWidth="1"/>
    <col min="9730" max="9730" width="31.6640625" customWidth="1"/>
    <col min="9731" max="9733" width="10.109375" bestFit="1" customWidth="1"/>
    <col min="9986" max="9986" width="31.6640625" customWidth="1"/>
    <col min="9987" max="9989" width="10.109375" bestFit="1" customWidth="1"/>
    <col min="10242" max="10242" width="31.6640625" customWidth="1"/>
    <col min="10243" max="10245" width="10.109375" bestFit="1" customWidth="1"/>
    <col min="10498" max="10498" width="31.6640625" customWidth="1"/>
    <col min="10499" max="10501" width="10.109375" bestFit="1" customWidth="1"/>
    <col min="10754" max="10754" width="31.6640625" customWidth="1"/>
    <col min="10755" max="10757" width="10.109375" bestFit="1" customWidth="1"/>
    <col min="11010" max="11010" width="31.6640625" customWidth="1"/>
    <col min="11011" max="11013" width="10.109375" bestFit="1" customWidth="1"/>
    <col min="11266" max="11266" width="31.6640625" customWidth="1"/>
    <col min="11267" max="11269" width="10.109375" bestFit="1" customWidth="1"/>
    <col min="11522" max="11522" width="31.6640625" customWidth="1"/>
    <col min="11523" max="11525" width="10.109375" bestFit="1" customWidth="1"/>
    <col min="11778" max="11778" width="31.6640625" customWidth="1"/>
    <col min="11779" max="11781" width="10.109375" bestFit="1" customWidth="1"/>
    <col min="12034" max="12034" width="31.6640625" customWidth="1"/>
    <col min="12035" max="12037" width="10.109375" bestFit="1" customWidth="1"/>
    <col min="12290" max="12290" width="31.6640625" customWidth="1"/>
    <col min="12291" max="12293" width="10.109375" bestFit="1" customWidth="1"/>
    <col min="12546" max="12546" width="31.6640625" customWidth="1"/>
    <col min="12547" max="12549" width="10.109375" bestFit="1" customWidth="1"/>
    <col min="12802" max="12802" width="31.6640625" customWidth="1"/>
    <col min="12803" max="12805" width="10.109375" bestFit="1" customWidth="1"/>
    <col min="13058" max="13058" width="31.6640625" customWidth="1"/>
    <col min="13059" max="13061" width="10.109375" bestFit="1" customWidth="1"/>
    <col min="13314" max="13314" width="31.6640625" customWidth="1"/>
    <col min="13315" max="13317" width="10.109375" bestFit="1" customWidth="1"/>
    <col min="13570" max="13570" width="31.6640625" customWidth="1"/>
    <col min="13571" max="13573" width="10.109375" bestFit="1" customWidth="1"/>
    <col min="13826" max="13826" width="31.6640625" customWidth="1"/>
    <col min="13827" max="13829" width="10.109375" bestFit="1" customWidth="1"/>
    <col min="14082" max="14082" width="31.6640625" customWidth="1"/>
    <col min="14083" max="14085" width="10.109375" bestFit="1" customWidth="1"/>
    <col min="14338" max="14338" width="31.6640625" customWidth="1"/>
    <col min="14339" max="14341" width="10.109375" bestFit="1" customWidth="1"/>
    <col min="14594" max="14594" width="31.6640625" customWidth="1"/>
    <col min="14595" max="14597" width="10.109375" bestFit="1" customWidth="1"/>
    <col min="14850" max="14850" width="31.6640625" customWidth="1"/>
    <col min="14851" max="14853" width="10.109375" bestFit="1" customWidth="1"/>
    <col min="15106" max="15106" width="31.6640625" customWidth="1"/>
    <col min="15107" max="15109" width="10.109375" bestFit="1" customWidth="1"/>
    <col min="15362" max="15362" width="31.6640625" customWidth="1"/>
    <col min="15363" max="15365" width="10.109375" bestFit="1" customWidth="1"/>
    <col min="15618" max="15618" width="31.6640625" customWidth="1"/>
    <col min="15619" max="15621" width="10.109375" bestFit="1" customWidth="1"/>
    <col min="15874" max="15874" width="31.6640625" customWidth="1"/>
    <col min="15875" max="15877" width="10.109375" bestFit="1" customWidth="1"/>
    <col min="16130" max="16130" width="31.6640625" customWidth="1"/>
    <col min="16131" max="16133" width="10.109375" bestFit="1" customWidth="1"/>
  </cols>
  <sheetData>
    <row r="1" spans="1:14" x14ac:dyDescent="0.25">
      <c r="A1" s="701" t="s">
        <v>591</v>
      </c>
      <c r="B1" s="701"/>
      <c r="C1" s="701"/>
      <c r="D1" s="701"/>
      <c r="E1" s="701"/>
      <c r="F1" s="701"/>
      <c r="G1" s="8"/>
      <c r="H1" s="8"/>
      <c r="I1" s="8"/>
      <c r="J1" s="8"/>
      <c r="K1" s="8"/>
      <c r="L1" s="8"/>
      <c r="M1" s="8"/>
      <c r="N1" s="8"/>
    </row>
    <row r="2" spans="1:14" x14ac:dyDescent="0.25">
      <c r="A2" s="701" t="s">
        <v>179</v>
      </c>
      <c r="B2" s="701"/>
      <c r="C2" s="701"/>
      <c r="D2" s="701"/>
      <c r="E2" s="701"/>
      <c r="F2" s="701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/>
      <c r="B3" s="8"/>
      <c r="C3" s="8"/>
      <c r="D3" s="8"/>
      <c r="E3" s="3" t="s">
        <v>240</v>
      </c>
      <c r="F3" s="3"/>
      <c r="G3" s="8"/>
      <c r="H3" s="8"/>
      <c r="I3" s="8"/>
      <c r="J3" s="8"/>
      <c r="K3" s="8"/>
      <c r="L3" s="8"/>
      <c r="M3" s="8"/>
      <c r="N3" s="8"/>
    </row>
    <row r="4" spans="1:14" ht="13.8" thickBot="1" x14ac:dyDescent="0.3">
      <c r="A4" s="8"/>
      <c r="B4" s="8"/>
      <c r="C4" s="8"/>
      <c r="D4" s="8"/>
      <c r="E4" s="8"/>
      <c r="F4" s="3"/>
      <c r="G4" s="8"/>
      <c r="H4" s="8"/>
      <c r="I4" s="8"/>
      <c r="J4" s="8"/>
      <c r="K4" s="8"/>
      <c r="L4" s="8"/>
      <c r="M4" s="8"/>
      <c r="N4" s="8"/>
    </row>
    <row r="5" spans="1:14" ht="20.100000000000001" customHeight="1" thickBot="1" x14ac:dyDescent="0.3">
      <c r="A5" s="57"/>
      <c r="B5" s="65">
        <v>2024</v>
      </c>
      <c r="C5" s="65">
        <v>2025</v>
      </c>
      <c r="D5" s="65">
        <v>2026</v>
      </c>
      <c r="E5" s="65">
        <v>2027</v>
      </c>
      <c r="F5" s="8"/>
      <c r="G5" s="8"/>
      <c r="H5" s="8"/>
      <c r="I5" s="8"/>
      <c r="J5" s="8"/>
      <c r="K5" s="8"/>
      <c r="L5" s="8"/>
      <c r="M5" s="8"/>
      <c r="N5" s="8"/>
    </row>
    <row r="6" spans="1:14" ht="20.100000000000001" customHeight="1" x14ac:dyDescent="0.25">
      <c r="A6" s="10" t="s">
        <v>18</v>
      </c>
      <c r="B6" s="66">
        <f>Mérleg!C6</f>
        <v>401860000</v>
      </c>
      <c r="C6" s="66">
        <f>B6*1.05</f>
        <v>421953000</v>
      </c>
      <c r="D6" s="66">
        <f>C6</f>
        <v>421953000</v>
      </c>
      <c r="E6" s="66">
        <f>D6</f>
        <v>421953000</v>
      </c>
      <c r="F6" s="8"/>
      <c r="G6" s="8"/>
      <c r="H6" s="8"/>
      <c r="I6" s="8"/>
      <c r="J6" s="8"/>
      <c r="K6" s="8"/>
      <c r="L6" s="8"/>
      <c r="M6" s="8"/>
      <c r="N6" s="8"/>
    </row>
    <row r="7" spans="1:14" ht="20.100000000000001" customHeight="1" x14ac:dyDescent="0.25">
      <c r="A7" s="7" t="s">
        <v>21</v>
      </c>
      <c r="B7" s="67">
        <f>Mérleg!C7</f>
        <v>1675306481</v>
      </c>
      <c r="C7" s="67">
        <f>B7*1.05</f>
        <v>1759071805.0500002</v>
      </c>
      <c r="D7" s="67">
        <f>C7*1.05-30</f>
        <v>1847025365.3025002</v>
      </c>
      <c r="E7" s="67">
        <f>D7*1.05+5</f>
        <v>1939376638.5676253</v>
      </c>
      <c r="F7" s="8"/>
      <c r="G7" s="8"/>
      <c r="H7" s="8"/>
      <c r="I7" s="8"/>
      <c r="J7" s="8"/>
      <c r="K7" s="8"/>
      <c r="L7" s="8"/>
      <c r="M7" s="8"/>
      <c r="N7" s="8"/>
    </row>
    <row r="8" spans="1:14" ht="20.100000000000001" customHeight="1" x14ac:dyDescent="0.25">
      <c r="A8" s="7" t="s">
        <v>23</v>
      </c>
      <c r="B8" s="67">
        <f>Mérleg!C8</f>
        <v>0</v>
      </c>
      <c r="C8" s="67">
        <v>0</v>
      </c>
      <c r="D8" s="67">
        <v>0</v>
      </c>
      <c r="E8" s="67">
        <v>0</v>
      </c>
      <c r="F8" s="8"/>
      <c r="G8" s="8"/>
      <c r="H8" s="8"/>
      <c r="I8" s="8"/>
      <c r="J8" s="8"/>
      <c r="K8" s="8"/>
      <c r="L8" s="8"/>
      <c r="M8" s="8"/>
      <c r="N8" s="8"/>
    </row>
    <row r="9" spans="1:14" ht="20.100000000000001" customHeight="1" x14ac:dyDescent="0.25">
      <c r="A9" s="7" t="s">
        <v>147</v>
      </c>
      <c r="B9" s="67">
        <f>Mérleg!C9</f>
        <v>0</v>
      </c>
      <c r="C9" s="67">
        <v>0</v>
      </c>
      <c r="D9" s="67">
        <v>0</v>
      </c>
      <c r="E9" s="67">
        <v>0</v>
      </c>
      <c r="F9" s="8"/>
      <c r="G9" s="8"/>
      <c r="H9" s="8"/>
      <c r="I9" s="8"/>
      <c r="J9" s="8"/>
      <c r="K9" s="8"/>
      <c r="L9" s="8"/>
      <c r="M9" s="8"/>
      <c r="N9" s="8"/>
    </row>
    <row r="10" spans="1:14" ht="20.100000000000001" customHeight="1" thickBot="1" x14ac:dyDescent="0.3">
      <c r="A10" s="14" t="s">
        <v>148</v>
      </c>
      <c r="B10" s="68">
        <f>Mérleg!C11</f>
        <v>0</v>
      </c>
      <c r="C10" s="68">
        <v>0</v>
      </c>
      <c r="D10" s="68">
        <v>0</v>
      </c>
      <c r="E10" s="68">
        <v>0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 ht="20.100000000000001" customHeight="1" thickBot="1" x14ac:dyDescent="0.3">
      <c r="A11" s="5" t="s">
        <v>31</v>
      </c>
      <c r="B11" s="12">
        <f>SUM(B6:B10)</f>
        <v>2077166481</v>
      </c>
      <c r="C11" s="12">
        <f>SUM(C6:C10)</f>
        <v>2181024805.0500002</v>
      </c>
      <c r="D11" s="12">
        <f>SUM(D6:D10)</f>
        <v>2268978365.3025002</v>
      </c>
      <c r="E11" s="12">
        <f>SUM(E6:E10)</f>
        <v>2361329638.567625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 ht="30" customHeight="1" x14ac:dyDescent="0.25">
      <c r="A12" s="213" t="s">
        <v>150</v>
      </c>
      <c r="B12" s="66">
        <f>Mérleg!C13</f>
        <v>0</v>
      </c>
      <c r="C12" s="66">
        <v>0</v>
      </c>
      <c r="D12" s="66">
        <v>0</v>
      </c>
      <c r="E12" s="66">
        <v>0</v>
      </c>
      <c r="F12" s="8"/>
      <c r="G12" s="8"/>
      <c r="H12" s="8"/>
      <c r="I12" s="8"/>
      <c r="J12" s="8"/>
      <c r="K12" s="8"/>
      <c r="L12" s="8"/>
      <c r="M12" s="8"/>
      <c r="N12" s="8"/>
    </row>
    <row r="13" spans="1:14" ht="20.100000000000001" customHeight="1" x14ac:dyDescent="0.25">
      <c r="A13" s="7" t="s">
        <v>22</v>
      </c>
      <c r="B13" s="67">
        <f>Mérleg!C14</f>
        <v>150000000</v>
      </c>
      <c r="C13" s="67">
        <v>0</v>
      </c>
      <c r="D13" s="67">
        <v>0</v>
      </c>
      <c r="E13" s="67">
        <v>0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 ht="20.100000000000001" customHeight="1" x14ac:dyDescent="0.25">
      <c r="A14" s="7" t="s">
        <v>25</v>
      </c>
      <c r="B14" s="67">
        <f>Mérleg!C15</f>
        <v>0</v>
      </c>
      <c r="C14" s="67">
        <v>0</v>
      </c>
      <c r="D14" s="67">
        <v>0</v>
      </c>
      <c r="E14" s="67">
        <v>0</v>
      </c>
      <c r="F14" s="8"/>
      <c r="G14" s="8"/>
      <c r="H14" s="8"/>
      <c r="I14" s="8"/>
      <c r="J14" s="8"/>
      <c r="K14" s="8"/>
      <c r="L14" s="8"/>
      <c r="M14" s="8"/>
      <c r="N14" s="8"/>
    </row>
    <row r="15" spans="1:14" ht="20.100000000000001" customHeight="1" thickBot="1" x14ac:dyDescent="0.3">
      <c r="A15" s="13" t="s">
        <v>26</v>
      </c>
      <c r="B15" s="52">
        <f>Mérleg!C16</f>
        <v>0</v>
      </c>
      <c r="C15" s="52">
        <f>B15</f>
        <v>0</v>
      </c>
      <c r="D15" s="52">
        <f t="shared" ref="D15:E15" si="0">C15</f>
        <v>0</v>
      </c>
      <c r="E15" s="52">
        <f t="shared" si="0"/>
        <v>0</v>
      </c>
      <c r="F15" s="8"/>
      <c r="G15" s="8"/>
      <c r="H15" s="8"/>
      <c r="I15" s="8"/>
      <c r="J15" s="8"/>
      <c r="K15" s="8"/>
      <c r="L15" s="8"/>
      <c r="M15" s="8"/>
      <c r="N15" s="8"/>
    </row>
    <row r="16" spans="1:14" ht="20.100000000000001" customHeight="1" thickBot="1" x14ac:dyDescent="0.3">
      <c r="A16" s="5" t="s">
        <v>34</v>
      </c>
      <c r="B16" s="12">
        <f>SUM(B12:B15)</f>
        <v>150000000</v>
      </c>
      <c r="C16" s="12">
        <f>SUM(C12:C15)</f>
        <v>0</v>
      </c>
      <c r="D16" s="12">
        <f>SUM(D12:D15)</f>
        <v>0</v>
      </c>
      <c r="E16" s="12">
        <f>SUM(E12:E15)</f>
        <v>0</v>
      </c>
      <c r="F16" s="8"/>
      <c r="G16" s="8"/>
      <c r="H16" s="8"/>
      <c r="I16" s="8"/>
      <c r="J16" s="8"/>
      <c r="K16" s="8"/>
      <c r="L16" s="8"/>
      <c r="M16" s="8"/>
      <c r="N16" s="8"/>
    </row>
    <row r="17" spans="1:14" ht="20.100000000000001" customHeight="1" x14ac:dyDescent="0.25">
      <c r="A17" s="13" t="s">
        <v>214</v>
      </c>
      <c r="B17" s="52">
        <f>Mérleg!C18</f>
        <v>135496606</v>
      </c>
      <c r="C17" s="52">
        <f>124867952-53500</f>
        <v>124814452</v>
      </c>
      <c r="D17" s="52">
        <f>92223788-57245</f>
        <v>92166543</v>
      </c>
      <c r="E17" s="52">
        <f>100135018-61252</f>
        <v>100073766</v>
      </c>
      <c r="F17" s="8"/>
      <c r="G17" s="8"/>
      <c r="H17" s="8"/>
      <c r="I17" s="8"/>
      <c r="J17" s="8"/>
      <c r="K17" s="8"/>
      <c r="L17" s="8"/>
      <c r="M17" s="8"/>
      <c r="N17" s="8"/>
    </row>
    <row r="18" spans="1:14" ht="30.75" customHeight="1" thickBot="1" x14ac:dyDescent="0.3">
      <c r="A18" s="192" t="s">
        <v>194</v>
      </c>
      <c r="B18" s="68">
        <f>Mérleg!C19</f>
        <v>0</v>
      </c>
      <c r="C18" s="68">
        <v>0</v>
      </c>
      <c r="D18" s="68">
        <v>0</v>
      </c>
      <c r="E18" s="68">
        <v>0</v>
      </c>
      <c r="F18" s="8"/>
      <c r="G18" s="8"/>
      <c r="H18" s="8"/>
      <c r="I18" s="8"/>
      <c r="J18" s="8"/>
      <c r="K18" s="8"/>
      <c r="L18" s="8"/>
      <c r="M18" s="8"/>
      <c r="N18" s="8"/>
    </row>
    <row r="19" spans="1:14" ht="20.100000000000001" customHeight="1" thickBot="1" x14ac:dyDescent="0.3">
      <c r="A19" s="5" t="s">
        <v>32</v>
      </c>
      <c r="B19" s="12">
        <f>SUM(B11+B16+B17)</f>
        <v>2362663087</v>
      </c>
      <c r="C19" s="12">
        <f t="shared" ref="C19:E19" si="1">SUM(C11:C18)</f>
        <v>2305839257.0500002</v>
      </c>
      <c r="D19" s="12">
        <f t="shared" si="1"/>
        <v>2361144908.3025002</v>
      </c>
      <c r="E19" s="12">
        <f t="shared" si="1"/>
        <v>2461403404.567625</v>
      </c>
      <c r="F19" s="8"/>
      <c r="G19" s="8"/>
      <c r="H19" s="8"/>
      <c r="I19" s="8"/>
      <c r="J19" s="8"/>
      <c r="K19" s="8"/>
      <c r="L19" s="8"/>
      <c r="M19" s="8"/>
      <c r="N19" s="8"/>
    </row>
    <row r="20" spans="1:14" ht="20.100000000000001" customHeight="1" thickBot="1" x14ac:dyDescent="0.3">
      <c r="A20" s="5" t="s">
        <v>166</v>
      </c>
      <c r="B20" s="11">
        <v>0</v>
      </c>
      <c r="C20" s="11">
        <v>0</v>
      </c>
      <c r="D20" s="11">
        <v>0</v>
      </c>
      <c r="E20" s="11">
        <v>0</v>
      </c>
      <c r="F20" s="8"/>
      <c r="G20" s="8"/>
      <c r="H20" s="8"/>
      <c r="I20" s="8"/>
      <c r="J20" s="8"/>
      <c r="K20" s="8"/>
      <c r="L20" s="8"/>
      <c r="M20" s="8"/>
      <c r="N20" s="8"/>
    </row>
    <row r="21" spans="1:14" ht="20.100000000000001" customHeight="1" thickBot="1" x14ac:dyDescent="0.3">
      <c r="A21" s="5" t="s">
        <v>35</v>
      </c>
      <c r="B21" s="11">
        <f>B20+B19</f>
        <v>2362663087</v>
      </c>
      <c r="C21" s="11">
        <f t="shared" ref="C21:E21" si="2">C20+C19</f>
        <v>2305839257.0500002</v>
      </c>
      <c r="D21" s="11">
        <f t="shared" si="2"/>
        <v>2361144908.3025002</v>
      </c>
      <c r="E21" s="11">
        <f t="shared" si="2"/>
        <v>2461403404.567625</v>
      </c>
      <c r="F21" s="8"/>
      <c r="G21" s="8"/>
      <c r="H21" s="8"/>
      <c r="I21" s="8"/>
      <c r="J21" s="8"/>
      <c r="K21" s="8"/>
      <c r="L21" s="8"/>
      <c r="M21" s="8"/>
      <c r="N21" s="8"/>
    </row>
    <row r="22" spans="1:14" ht="20.100000000000001" customHeight="1" thickBot="1" x14ac:dyDescent="0.3">
      <c r="A22" s="69"/>
      <c r="B22" s="70">
        <f>B21-Mérleg!C27</f>
        <v>0</v>
      </c>
      <c r="C22" s="70"/>
      <c r="D22" s="70"/>
      <c r="E22" s="70"/>
      <c r="F22" s="8"/>
      <c r="G22" s="8"/>
      <c r="H22" s="8"/>
      <c r="I22" s="8"/>
      <c r="J22" s="8"/>
      <c r="K22" s="8"/>
      <c r="L22" s="8"/>
      <c r="M22" s="8"/>
      <c r="N22" s="8"/>
    </row>
    <row r="23" spans="1:14" ht="20.100000000000001" customHeight="1" thickBot="1" x14ac:dyDescent="0.3">
      <c r="A23" s="57" t="s">
        <v>17</v>
      </c>
      <c r="B23" s="65">
        <v>2024</v>
      </c>
      <c r="C23" s="65">
        <v>2025</v>
      </c>
      <c r="D23" s="65">
        <v>2026</v>
      </c>
      <c r="E23" s="65">
        <v>2027</v>
      </c>
      <c r="F23" s="8"/>
      <c r="G23" s="8"/>
      <c r="H23" s="8"/>
      <c r="I23" s="8"/>
      <c r="J23" s="8"/>
      <c r="K23" s="8"/>
      <c r="L23" s="8"/>
      <c r="M23" s="8"/>
      <c r="N23" s="8"/>
    </row>
    <row r="24" spans="1:14" ht="20.100000000000001" customHeight="1" x14ac:dyDescent="0.25">
      <c r="A24" s="71" t="s">
        <v>43</v>
      </c>
      <c r="B24" s="59">
        <f>'Működési kiadások'!E18+'Működési kiadások'!E41</f>
        <v>1213975000</v>
      </c>
      <c r="C24" s="59">
        <f>B24*1.03+50</f>
        <v>1250394300</v>
      </c>
      <c r="D24" s="59">
        <f>C24*1.03-29</f>
        <v>1287906100</v>
      </c>
      <c r="E24" s="59">
        <f>D24*1.03+17</f>
        <v>1326543300</v>
      </c>
      <c r="F24" s="8"/>
      <c r="G24" s="8"/>
      <c r="H24" s="8"/>
      <c r="I24" s="8"/>
      <c r="J24" s="8"/>
      <c r="K24" s="8"/>
      <c r="L24" s="8"/>
      <c r="M24" s="8"/>
      <c r="N24" s="8"/>
    </row>
    <row r="25" spans="1:14" ht="20.100000000000001" customHeight="1" x14ac:dyDescent="0.25">
      <c r="A25" s="16" t="s">
        <v>44</v>
      </c>
      <c r="B25" s="9">
        <f>'Működési kiadások'!F18+'Működési kiadások'!F41</f>
        <v>176475640</v>
      </c>
      <c r="C25" s="9">
        <f t="shared" ref="C25:E25" si="3">B25*1.03</f>
        <v>181769909.20000002</v>
      </c>
      <c r="D25" s="9">
        <f t="shared" si="3"/>
        <v>187223006.47600001</v>
      </c>
      <c r="E25" s="9">
        <f t="shared" si="3"/>
        <v>192839696.67028001</v>
      </c>
      <c r="F25" s="8"/>
      <c r="G25" s="8"/>
      <c r="H25" s="8"/>
      <c r="I25" s="8"/>
      <c r="J25" s="8"/>
      <c r="K25" s="8"/>
      <c r="L25" s="8"/>
      <c r="M25" s="8"/>
      <c r="N25" s="8"/>
    </row>
    <row r="26" spans="1:14" ht="20.100000000000001" customHeight="1" x14ac:dyDescent="0.25">
      <c r="A26" s="16" t="s">
        <v>45</v>
      </c>
      <c r="B26" s="9">
        <f>'Működési kiadások'!G41+'Működési kiadások'!G18</f>
        <v>698808457</v>
      </c>
      <c r="C26" s="9">
        <f>B26*1.07</f>
        <v>747725048.99000001</v>
      </c>
      <c r="D26" s="9">
        <f>C26*1.07</f>
        <v>800065802.41930008</v>
      </c>
      <c r="E26" s="9">
        <f>D26*1.07</f>
        <v>856070408.58865118</v>
      </c>
      <c r="F26" s="8"/>
      <c r="G26" s="8"/>
      <c r="H26" s="8"/>
      <c r="I26" s="8"/>
      <c r="J26" s="8"/>
      <c r="K26" s="8"/>
      <c r="L26" s="8"/>
      <c r="M26" s="8"/>
      <c r="N26" s="8"/>
    </row>
    <row r="27" spans="1:14" ht="20.100000000000001" customHeight="1" x14ac:dyDescent="0.25">
      <c r="A27" s="72" t="s">
        <v>193</v>
      </c>
      <c r="B27" s="9">
        <f>'Működési kiadások'!J18</f>
        <v>1100000</v>
      </c>
      <c r="C27" s="9">
        <v>1100000</v>
      </c>
      <c r="D27" s="9">
        <v>1100000</v>
      </c>
      <c r="E27" s="9">
        <v>1100000</v>
      </c>
      <c r="F27" s="8"/>
      <c r="G27" s="8"/>
      <c r="H27" s="8"/>
      <c r="I27" s="8"/>
      <c r="J27" s="8"/>
      <c r="K27" s="8"/>
      <c r="L27" s="8"/>
      <c r="M27" s="8"/>
      <c r="N27" s="8"/>
    </row>
    <row r="28" spans="1:14" ht="20.100000000000001" customHeight="1" x14ac:dyDescent="0.25">
      <c r="A28" s="72" t="s">
        <v>83</v>
      </c>
      <c r="B28" s="67">
        <f>'Működési kiadások'!H41</f>
        <v>14300000</v>
      </c>
      <c r="C28" s="9">
        <v>14000000</v>
      </c>
      <c r="D28" s="9">
        <v>14000000</v>
      </c>
      <c r="E28" s="9">
        <v>14000000</v>
      </c>
      <c r="F28" s="8"/>
      <c r="G28" s="8"/>
      <c r="H28" s="8"/>
      <c r="I28" s="8"/>
      <c r="J28" s="8"/>
      <c r="K28" s="8"/>
      <c r="L28" s="8"/>
      <c r="M28" s="8"/>
      <c r="N28" s="8"/>
    </row>
    <row r="29" spans="1:14" ht="20.100000000000001" customHeight="1" x14ac:dyDescent="0.25">
      <c r="A29" s="72" t="s">
        <v>84</v>
      </c>
      <c r="B29" s="9">
        <f>'Működési kiadások'!I41</f>
        <v>850000</v>
      </c>
      <c r="C29" s="9">
        <v>850000</v>
      </c>
      <c r="D29" s="9">
        <v>850000</v>
      </c>
      <c r="E29" s="9">
        <v>850000</v>
      </c>
      <c r="F29" s="8"/>
      <c r="G29" s="8"/>
      <c r="H29" s="8"/>
      <c r="I29" s="8"/>
      <c r="J29" s="8"/>
      <c r="K29" s="8"/>
      <c r="L29" s="8"/>
      <c r="M29" s="8"/>
      <c r="N29" s="8"/>
    </row>
    <row r="30" spans="1:14" ht="20.100000000000001" customHeight="1" x14ac:dyDescent="0.25">
      <c r="A30" s="72" t="s">
        <v>85</v>
      </c>
      <c r="B30" s="9">
        <f>'Felhalmozási kiadások'!I24</f>
        <v>164020854</v>
      </c>
      <c r="C30" s="9">
        <v>60000000</v>
      </c>
      <c r="D30" s="9">
        <v>20000000</v>
      </c>
      <c r="E30" s="9">
        <v>20000000</v>
      </c>
      <c r="F30" s="8"/>
      <c r="G30" s="8"/>
      <c r="H30" s="8"/>
      <c r="I30" s="8"/>
      <c r="J30" s="8"/>
      <c r="K30" s="8"/>
      <c r="L30" s="8"/>
      <c r="M30" s="8"/>
      <c r="N30" s="8"/>
    </row>
    <row r="31" spans="1:14" ht="20.100000000000001" customHeight="1" thickBot="1" x14ac:dyDescent="0.3">
      <c r="A31" s="72" t="s">
        <v>89</v>
      </c>
      <c r="B31" s="9">
        <f>'Működési kiadások'!K41</f>
        <v>93133136</v>
      </c>
      <c r="C31" s="9">
        <v>50000000</v>
      </c>
      <c r="D31" s="9">
        <v>50000000</v>
      </c>
      <c r="E31" s="9">
        <v>50000000</v>
      </c>
      <c r="F31" s="8"/>
      <c r="G31" s="8"/>
      <c r="H31" s="8"/>
      <c r="I31" s="8"/>
      <c r="J31" s="8"/>
      <c r="K31" s="8"/>
      <c r="L31" s="8"/>
      <c r="M31" s="8"/>
      <c r="N31" s="8"/>
    </row>
    <row r="32" spans="1:14" ht="20.100000000000001" customHeight="1" thickBot="1" x14ac:dyDescent="0.3">
      <c r="A32" s="11" t="s">
        <v>90</v>
      </c>
      <c r="B32" s="11">
        <f>SUM(B24:B31)</f>
        <v>2362663087</v>
      </c>
      <c r="C32" s="11">
        <f>SUM(C24:C31)</f>
        <v>2305839258.1900001</v>
      </c>
      <c r="D32" s="11">
        <f>SUM(D24:D31)</f>
        <v>2361144908.8952999</v>
      </c>
      <c r="E32" s="11">
        <f>SUM(E24:E31)</f>
        <v>2461403405.2589312</v>
      </c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5">
      <c r="A33" s="8"/>
      <c r="B33" s="62">
        <f>B32-Mérleg!O29</f>
        <v>0</v>
      </c>
      <c r="C33" s="62">
        <f>C32-C21</f>
        <v>1.1399998664855957</v>
      </c>
      <c r="D33" s="62">
        <f>D32-D21</f>
        <v>0.59279966354370117</v>
      </c>
      <c r="E33" s="62">
        <f>E32-E21</f>
        <v>0.69130611419677734</v>
      </c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5">
      <c r="A34" s="216"/>
      <c r="B34" s="217">
        <f>B32-B21</f>
        <v>0</v>
      </c>
      <c r="C34" s="217">
        <f>C21-C32</f>
        <v>-1.1399998664855957</v>
      </c>
      <c r="D34" s="217">
        <f>D21-D32</f>
        <v>-0.59279966354370117</v>
      </c>
      <c r="E34" s="217">
        <f>E21-E32</f>
        <v>-0.69130611419677734</v>
      </c>
      <c r="F34" s="216"/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</sheetData>
  <mergeCells count="2">
    <mergeCell ref="A1:F1"/>
    <mergeCell ref="A2:F2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94"/>
  <sheetViews>
    <sheetView view="pageBreakPreview" zoomScaleNormal="100" zoomScaleSheetLayoutView="100" workbookViewId="0">
      <selection activeCell="A6" sqref="A6"/>
    </sheetView>
  </sheetViews>
  <sheetFormatPr defaultColWidth="9.109375" defaultRowHeight="13.2" x14ac:dyDescent="0.25"/>
  <cols>
    <col min="1" max="1" width="47.88671875" style="46" customWidth="1"/>
    <col min="2" max="2" width="22.88671875" style="46" customWidth="1"/>
    <col min="3" max="3" width="15.88671875" style="46" customWidth="1"/>
    <col min="4" max="4" width="14" style="46" customWidth="1"/>
    <col min="5" max="5" width="18.109375" style="46" bestFit="1" customWidth="1"/>
    <col min="6" max="6" width="16.88671875" style="46" customWidth="1"/>
    <col min="7" max="7" width="6.33203125" style="46" customWidth="1"/>
    <col min="8" max="8" width="9.33203125" style="46" customWidth="1"/>
    <col min="9" max="9" width="3.44140625" style="83" customWidth="1"/>
    <col min="10" max="10" width="6.33203125" style="83" customWidth="1"/>
    <col min="11" max="11" width="9" style="83" customWidth="1"/>
    <col min="12" max="12" width="8.44140625" style="83" customWidth="1"/>
    <col min="13" max="13" width="15.88671875" style="83" customWidth="1"/>
    <col min="14" max="14" width="16.44140625" style="83" customWidth="1"/>
    <col min="15" max="15" width="16.5546875" style="83" customWidth="1"/>
    <col min="16" max="16" width="16.88671875" style="83" customWidth="1"/>
    <col min="17" max="24" width="17" style="83" customWidth="1"/>
    <col min="25" max="25" width="13.5546875" style="46" bestFit="1" customWidth="1"/>
    <col min="26" max="16384" width="9.109375" style="46"/>
  </cols>
  <sheetData>
    <row r="1" spans="1:30" ht="17.399999999999999" x14ac:dyDescent="0.25">
      <c r="A1" s="829" t="s">
        <v>592</v>
      </c>
      <c r="B1" s="829"/>
      <c r="C1" s="829"/>
      <c r="D1" s="829"/>
      <c r="E1" s="829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184"/>
      <c r="Z1" s="184"/>
      <c r="AA1" s="184"/>
      <c r="AB1" s="184"/>
      <c r="AC1" s="184"/>
      <c r="AD1" s="184"/>
    </row>
    <row r="2" spans="1:30" ht="17.399999999999999" x14ac:dyDescent="0.25">
      <c r="A2" s="249"/>
      <c r="B2" s="249"/>
      <c r="C2" s="249"/>
      <c r="D2" s="186"/>
      <c r="E2" s="95" t="s">
        <v>395</v>
      </c>
      <c r="F2" s="186"/>
      <c r="G2" s="186"/>
      <c r="H2" s="186"/>
      <c r="I2" s="186"/>
      <c r="J2" s="186"/>
      <c r="K2" s="186"/>
      <c r="L2" s="186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184"/>
      <c r="Z2" s="184"/>
      <c r="AA2" s="184"/>
      <c r="AB2" s="184"/>
      <c r="AC2" s="184"/>
      <c r="AD2" s="184"/>
    </row>
    <row r="3" spans="1:30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73"/>
      <c r="Q3" s="73"/>
      <c r="R3" s="73"/>
      <c r="S3" s="73"/>
      <c r="T3" s="73"/>
      <c r="U3" s="73"/>
      <c r="V3" s="73"/>
      <c r="W3" s="73"/>
      <c r="X3" s="73"/>
      <c r="Y3" s="184"/>
      <c r="Z3" s="184"/>
      <c r="AA3" s="184"/>
      <c r="AB3" s="184"/>
      <c r="AC3" s="184"/>
      <c r="AD3" s="184"/>
    </row>
    <row r="4" spans="1:30" ht="13.8" x14ac:dyDescent="0.25">
      <c r="A4" s="74"/>
      <c r="B4" s="74"/>
      <c r="C4" s="74"/>
      <c r="D4" s="75"/>
      <c r="E4" s="76"/>
      <c r="F4" s="76"/>
      <c r="G4" s="77"/>
      <c r="H4" s="77"/>
      <c r="I4" s="77"/>
      <c r="J4" s="77"/>
      <c r="K4" s="77"/>
      <c r="L4" s="77"/>
      <c r="M4" s="77"/>
      <c r="N4" s="77"/>
      <c r="O4" s="77"/>
      <c r="P4" s="284"/>
      <c r="Q4" s="284"/>
      <c r="R4" s="284"/>
      <c r="S4" s="284"/>
      <c r="T4" s="77"/>
      <c r="U4" s="77"/>
      <c r="V4" s="77"/>
      <c r="W4" s="77"/>
      <c r="X4" s="77"/>
      <c r="Y4" s="185"/>
      <c r="Z4" s="185"/>
      <c r="AA4" s="185"/>
      <c r="AB4" s="184"/>
      <c r="AC4" s="184"/>
      <c r="AD4" s="184"/>
    </row>
    <row r="5" spans="1:30" ht="13.8" x14ac:dyDescent="0.25">
      <c r="A5" s="8" t="s">
        <v>593</v>
      </c>
      <c r="B5" s="78"/>
      <c r="C5" s="78"/>
      <c r="D5" s="79"/>
      <c r="E5" s="73"/>
      <c r="F5" s="220"/>
      <c r="G5" s="221"/>
      <c r="H5" s="221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184"/>
      <c r="Z5" s="184"/>
      <c r="AA5" s="184"/>
      <c r="AB5" s="184"/>
      <c r="AC5" s="184"/>
      <c r="AD5" s="184"/>
    </row>
    <row r="6" spans="1:30" ht="13.8" x14ac:dyDescent="0.25">
      <c r="A6" s="78"/>
      <c r="B6" s="78"/>
      <c r="C6" s="78"/>
      <c r="D6" s="79"/>
      <c r="E6" s="73"/>
      <c r="F6" s="73"/>
      <c r="G6" s="80"/>
      <c r="H6" s="80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184"/>
      <c r="Z6" s="184"/>
      <c r="AA6" s="184"/>
      <c r="AB6" s="184"/>
      <c r="AC6" s="184"/>
      <c r="AD6" s="184"/>
    </row>
    <row r="7" spans="1:30" x14ac:dyDescent="0.25">
      <c r="A7" s="184"/>
      <c r="B7" s="184"/>
      <c r="C7" s="184"/>
      <c r="D7" s="184"/>
      <c r="E7" s="184"/>
      <c r="F7" s="184"/>
      <c r="G7" s="184"/>
      <c r="H7" s="184"/>
      <c r="Y7" s="184"/>
      <c r="Z7" s="184"/>
      <c r="AA7" s="184"/>
      <c r="AB7" s="184"/>
      <c r="AC7" s="184"/>
      <c r="AD7" s="184"/>
    </row>
    <row r="8" spans="1:30" x14ac:dyDescent="0.25">
      <c r="A8" s="184"/>
      <c r="B8" s="184"/>
      <c r="C8" s="184"/>
      <c r="D8" s="184"/>
      <c r="E8" s="184"/>
      <c r="F8" s="184"/>
      <c r="G8" s="184"/>
      <c r="H8" s="184"/>
      <c r="Y8" s="184"/>
      <c r="Z8" s="184"/>
      <c r="AA8" s="184"/>
      <c r="AB8" s="184"/>
      <c r="AC8" s="184"/>
      <c r="AD8" s="184"/>
    </row>
    <row r="9" spans="1:30" x14ac:dyDescent="0.25">
      <c r="A9" s="184"/>
      <c r="B9" s="184"/>
      <c r="C9" s="184"/>
      <c r="D9" s="184"/>
      <c r="E9" s="184"/>
      <c r="F9" s="184"/>
      <c r="G9" s="184"/>
      <c r="H9" s="184"/>
      <c r="Y9" s="184"/>
      <c r="Z9" s="184"/>
      <c r="AA9" s="184"/>
      <c r="AB9" s="184"/>
      <c r="AC9" s="184"/>
      <c r="AD9" s="184"/>
    </row>
    <row r="10" spans="1:30" x14ac:dyDescent="0.25">
      <c r="A10" s="184"/>
      <c r="B10" s="184"/>
      <c r="C10" s="184"/>
      <c r="D10" s="184"/>
      <c r="E10" s="184"/>
      <c r="F10" s="184"/>
      <c r="G10" s="184"/>
      <c r="H10" s="184"/>
      <c r="Y10" s="184"/>
      <c r="Z10" s="184"/>
      <c r="AA10" s="184"/>
      <c r="AB10" s="184"/>
      <c r="AC10" s="184"/>
      <c r="AD10" s="184"/>
    </row>
    <row r="11" spans="1:30" x14ac:dyDescent="0.25">
      <c r="A11" s="184"/>
      <c r="B11" s="184"/>
      <c r="C11" s="184"/>
      <c r="D11" s="184"/>
      <c r="E11" s="184"/>
      <c r="F11" s="184"/>
      <c r="G11" s="184"/>
      <c r="H11" s="184"/>
      <c r="Y11" s="184"/>
      <c r="Z11" s="184"/>
      <c r="AA11" s="184"/>
      <c r="AB11" s="184"/>
      <c r="AC11" s="184"/>
      <c r="AD11" s="184"/>
    </row>
    <row r="12" spans="1:30" x14ac:dyDescent="0.25">
      <c r="A12" s="184"/>
      <c r="B12" s="184"/>
      <c r="C12" s="184"/>
      <c r="D12" s="184"/>
      <c r="E12" s="184"/>
      <c r="F12" s="184"/>
      <c r="G12" s="184"/>
      <c r="H12" s="184"/>
      <c r="Y12" s="184"/>
      <c r="Z12" s="184"/>
      <c r="AA12" s="184"/>
      <c r="AB12" s="184"/>
      <c r="AC12" s="184"/>
      <c r="AD12" s="184"/>
    </row>
    <row r="13" spans="1:30" x14ac:dyDescent="0.25">
      <c r="A13" s="184"/>
      <c r="B13" s="184"/>
      <c r="C13" s="184"/>
      <c r="D13" s="184"/>
      <c r="E13" s="184"/>
      <c r="F13" s="184"/>
      <c r="G13" s="184"/>
      <c r="H13" s="184"/>
      <c r="Y13" s="184"/>
      <c r="Z13" s="184"/>
      <c r="AA13" s="184"/>
      <c r="AB13" s="184"/>
      <c r="AC13" s="184"/>
      <c r="AD13" s="184"/>
    </row>
    <row r="14" spans="1:30" x14ac:dyDescent="0.25">
      <c r="A14" s="184"/>
      <c r="B14" s="184"/>
      <c r="C14" s="184"/>
      <c r="D14" s="184"/>
      <c r="E14" s="184"/>
      <c r="F14" s="184"/>
      <c r="G14" s="184"/>
      <c r="H14" s="184"/>
      <c r="Y14" s="184"/>
      <c r="Z14" s="184"/>
      <c r="AA14" s="184"/>
      <c r="AB14" s="184"/>
      <c r="AC14" s="184"/>
      <c r="AD14" s="184"/>
    </row>
    <row r="15" spans="1:30" x14ac:dyDescent="0.25">
      <c r="A15" s="184"/>
      <c r="B15" s="184"/>
      <c r="C15" s="184"/>
      <c r="D15" s="184"/>
      <c r="E15" s="184"/>
      <c r="F15" s="184"/>
      <c r="G15" s="184"/>
      <c r="H15" s="184"/>
      <c r="Y15" s="184"/>
      <c r="Z15" s="184"/>
      <c r="AA15" s="184"/>
      <c r="AB15" s="184"/>
      <c r="AC15" s="184"/>
      <c r="AD15" s="184"/>
    </row>
    <row r="16" spans="1:30" x14ac:dyDescent="0.25">
      <c r="A16" s="184"/>
      <c r="B16" s="184"/>
      <c r="C16" s="184"/>
      <c r="D16" s="184"/>
      <c r="E16" s="184"/>
      <c r="F16" s="184"/>
      <c r="G16" s="184"/>
      <c r="H16" s="184"/>
      <c r="Y16" s="184"/>
      <c r="Z16" s="184"/>
      <c r="AA16" s="184"/>
      <c r="AB16" s="184"/>
      <c r="AC16" s="184"/>
      <c r="AD16" s="184"/>
    </row>
    <row r="17" spans="1:30" x14ac:dyDescent="0.25">
      <c r="A17" s="184"/>
      <c r="B17" s="184"/>
      <c r="C17" s="184"/>
      <c r="D17" s="184"/>
      <c r="E17" s="184"/>
      <c r="F17" s="184"/>
      <c r="G17" s="184"/>
      <c r="H17" s="184"/>
      <c r="Y17" s="184"/>
      <c r="Z17" s="184"/>
      <c r="AA17" s="184"/>
      <c r="AB17" s="184"/>
      <c r="AC17" s="184"/>
      <c r="AD17" s="184"/>
    </row>
    <row r="18" spans="1:30" x14ac:dyDescent="0.25">
      <c r="A18" s="184"/>
      <c r="B18" s="184"/>
      <c r="C18" s="184"/>
      <c r="D18" s="184"/>
      <c r="E18" s="184"/>
      <c r="F18" s="184"/>
      <c r="G18" s="184"/>
      <c r="H18" s="184"/>
      <c r="Y18" s="184"/>
      <c r="Z18" s="184"/>
      <c r="AA18" s="184"/>
      <c r="AB18" s="184"/>
      <c r="AC18" s="184"/>
      <c r="AD18" s="184"/>
    </row>
    <row r="19" spans="1:30" x14ac:dyDescent="0.25">
      <c r="A19" s="184"/>
      <c r="B19" s="184"/>
      <c r="C19" s="184"/>
      <c r="D19" s="184"/>
      <c r="E19" s="184"/>
      <c r="F19" s="184"/>
      <c r="G19" s="184"/>
      <c r="H19" s="184"/>
      <c r="Y19" s="184"/>
      <c r="Z19" s="184"/>
      <c r="AA19" s="184"/>
      <c r="AB19" s="184"/>
      <c r="AC19" s="184"/>
      <c r="AD19" s="184"/>
    </row>
    <row r="20" spans="1:30" x14ac:dyDescent="0.25">
      <c r="A20" s="184"/>
      <c r="B20" s="184"/>
      <c r="C20" s="184"/>
      <c r="D20" s="184"/>
      <c r="E20" s="184"/>
      <c r="F20" s="184"/>
      <c r="G20" s="184"/>
      <c r="H20" s="184"/>
      <c r="Y20" s="184"/>
      <c r="Z20" s="184"/>
      <c r="AA20" s="184"/>
      <c r="AB20" s="184"/>
      <c r="AC20" s="184"/>
      <c r="AD20" s="184"/>
    </row>
    <row r="21" spans="1:30" x14ac:dyDescent="0.25">
      <c r="A21" s="184"/>
      <c r="B21" s="184"/>
      <c r="C21" s="184"/>
      <c r="D21" s="184"/>
      <c r="E21" s="184"/>
      <c r="F21" s="184"/>
      <c r="G21" s="184"/>
      <c r="H21" s="184"/>
      <c r="Y21" s="184"/>
      <c r="Z21" s="184"/>
      <c r="AA21" s="184"/>
      <c r="AB21" s="184"/>
      <c r="AC21" s="184"/>
      <c r="AD21" s="184"/>
    </row>
    <row r="22" spans="1:30" x14ac:dyDescent="0.25">
      <c r="A22" s="184"/>
      <c r="B22" s="184"/>
      <c r="C22" s="184"/>
      <c r="D22" s="184"/>
      <c r="E22" s="184"/>
      <c r="F22" s="184"/>
      <c r="G22" s="184"/>
      <c r="H22" s="184"/>
      <c r="Y22" s="184"/>
      <c r="Z22" s="184"/>
      <c r="AA22" s="184"/>
      <c r="AB22" s="184"/>
      <c r="AC22" s="184"/>
      <c r="AD22" s="184"/>
    </row>
    <row r="23" spans="1:30" x14ac:dyDescent="0.25">
      <c r="A23" s="184"/>
      <c r="B23" s="184"/>
      <c r="C23" s="184"/>
      <c r="D23" s="184"/>
      <c r="E23" s="184"/>
      <c r="F23" s="184"/>
      <c r="G23" s="184"/>
      <c r="H23" s="184"/>
      <c r="Y23" s="184"/>
      <c r="Z23" s="184"/>
      <c r="AA23" s="184"/>
      <c r="AB23" s="184"/>
      <c r="AC23" s="184"/>
      <c r="AD23" s="184"/>
    </row>
    <row r="24" spans="1:30" x14ac:dyDescent="0.25">
      <c r="A24" s="184"/>
      <c r="B24" s="184"/>
      <c r="C24" s="184"/>
      <c r="D24" s="184"/>
      <c r="E24" s="184"/>
      <c r="F24" s="184"/>
      <c r="G24" s="184"/>
      <c r="H24" s="184"/>
      <c r="Y24" s="184"/>
      <c r="Z24" s="184"/>
      <c r="AA24" s="184"/>
      <c r="AB24" s="184"/>
      <c r="AC24" s="184"/>
      <c r="AD24" s="184"/>
    </row>
    <row r="25" spans="1:30" x14ac:dyDescent="0.25">
      <c r="A25" s="184"/>
      <c r="B25" s="184"/>
      <c r="C25" s="184"/>
      <c r="D25" s="184"/>
      <c r="E25" s="184"/>
      <c r="F25" s="184"/>
      <c r="G25" s="184"/>
      <c r="H25" s="184"/>
      <c r="Y25" s="184"/>
      <c r="Z25" s="184"/>
      <c r="AA25" s="184"/>
      <c r="AB25" s="184"/>
      <c r="AC25" s="184"/>
      <c r="AD25" s="184"/>
    </row>
    <row r="26" spans="1:30" x14ac:dyDescent="0.25">
      <c r="A26" s="184"/>
      <c r="B26" s="184"/>
      <c r="C26" s="184"/>
      <c r="D26" s="184"/>
      <c r="E26" s="184"/>
      <c r="F26" s="184"/>
      <c r="G26" s="184"/>
      <c r="H26" s="184"/>
      <c r="Y26" s="184"/>
      <c r="Z26" s="184"/>
      <c r="AA26" s="184"/>
      <c r="AB26" s="184"/>
      <c r="AC26" s="184"/>
      <c r="AD26" s="184"/>
    </row>
    <row r="27" spans="1:30" x14ac:dyDescent="0.25">
      <c r="A27" s="184"/>
      <c r="B27" s="184"/>
      <c r="C27" s="184"/>
      <c r="D27" s="184"/>
      <c r="E27" s="184"/>
      <c r="F27" s="184"/>
      <c r="G27" s="184"/>
      <c r="H27" s="184"/>
      <c r="Y27" s="184"/>
      <c r="Z27" s="184"/>
      <c r="AA27" s="184"/>
      <c r="AB27" s="184"/>
      <c r="AC27" s="184"/>
      <c r="AD27" s="184"/>
    </row>
    <row r="28" spans="1:30" x14ac:dyDescent="0.25">
      <c r="A28" s="184"/>
      <c r="B28" s="184"/>
      <c r="C28" s="184"/>
      <c r="D28" s="184"/>
      <c r="E28" s="184"/>
      <c r="F28" s="184"/>
      <c r="G28" s="184"/>
      <c r="H28" s="184"/>
      <c r="Y28" s="184"/>
      <c r="Z28" s="184"/>
      <c r="AA28" s="184"/>
      <c r="AB28" s="184"/>
      <c r="AC28" s="184"/>
      <c r="AD28" s="184"/>
    </row>
    <row r="29" spans="1:30" x14ac:dyDescent="0.25">
      <c r="A29" s="184"/>
      <c r="B29" s="184"/>
      <c r="C29" s="184"/>
      <c r="D29" s="184"/>
      <c r="E29" s="184"/>
      <c r="F29" s="184"/>
      <c r="G29" s="184"/>
      <c r="H29" s="184"/>
      <c r="Y29" s="184"/>
      <c r="Z29" s="184"/>
      <c r="AA29" s="184"/>
      <c r="AB29" s="184"/>
      <c r="AC29" s="184"/>
      <c r="AD29" s="184"/>
    </row>
    <row r="30" spans="1:30" x14ac:dyDescent="0.25">
      <c r="A30" s="184"/>
      <c r="B30" s="184"/>
      <c r="C30" s="184"/>
      <c r="D30" s="184"/>
      <c r="E30" s="184"/>
      <c r="F30" s="184"/>
      <c r="G30" s="184"/>
      <c r="H30" s="184"/>
      <c r="Y30" s="184"/>
      <c r="Z30" s="184"/>
      <c r="AA30" s="184"/>
      <c r="AB30" s="184"/>
      <c r="AC30" s="184"/>
      <c r="AD30" s="184"/>
    </row>
    <row r="31" spans="1:30" x14ac:dyDescent="0.25">
      <c r="A31" s="184"/>
      <c r="B31" s="184"/>
      <c r="C31" s="184"/>
      <c r="D31" s="184"/>
      <c r="E31" s="184"/>
      <c r="F31" s="184"/>
      <c r="G31" s="184"/>
      <c r="H31" s="184"/>
      <c r="Y31" s="184"/>
      <c r="Z31" s="184"/>
      <c r="AA31" s="184"/>
      <c r="AB31" s="184"/>
      <c r="AC31" s="184"/>
      <c r="AD31" s="184"/>
    </row>
    <row r="32" spans="1:30" x14ac:dyDescent="0.25">
      <c r="A32" s="184"/>
      <c r="B32" s="184"/>
      <c r="C32" s="184"/>
      <c r="D32" s="184"/>
      <c r="E32" s="184"/>
      <c r="F32" s="184"/>
      <c r="G32" s="184"/>
      <c r="H32" s="184"/>
      <c r="Y32" s="184"/>
      <c r="Z32" s="184"/>
      <c r="AA32" s="184"/>
      <c r="AB32" s="184"/>
      <c r="AC32" s="184"/>
      <c r="AD32" s="184"/>
    </row>
    <row r="33" spans="1:30" x14ac:dyDescent="0.25">
      <c r="A33" s="184"/>
      <c r="B33" s="184"/>
      <c r="C33" s="184"/>
      <c r="D33" s="184"/>
      <c r="E33" s="184"/>
      <c r="F33" s="184"/>
      <c r="G33" s="184"/>
      <c r="H33" s="184"/>
      <c r="Y33" s="184"/>
      <c r="Z33" s="184"/>
      <c r="AA33" s="184"/>
      <c r="AB33" s="184"/>
      <c r="AC33" s="184"/>
      <c r="AD33" s="184"/>
    </row>
    <row r="34" spans="1:30" x14ac:dyDescent="0.25">
      <c r="A34" s="184"/>
      <c r="B34" s="184"/>
      <c r="C34" s="184"/>
      <c r="D34" s="184"/>
      <c r="E34" s="184"/>
      <c r="F34" s="184"/>
      <c r="G34" s="184"/>
      <c r="H34" s="184"/>
      <c r="Y34" s="184"/>
      <c r="Z34" s="184"/>
      <c r="AA34" s="184"/>
      <c r="AB34" s="184"/>
      <c r="AC34" s="184"/>
      <c r="AD34" s="184"/>
    </row>
    <row r="35" spans="1:30" x14ac:dyDescent="0.25">
      <c r="A35" s="184"/>
      <c r="B35" s="184"/>
      <c r="C35" s="184"/>
      <c r="D35" s="184"/>
      <c r="E35" s="184"/>
      <c r="F35" s="184"/>
      <c r="G35" s="184"/>
      <c r="H35" s="184"/>
      <c r="Y35" s="184"/>
      <c r="Z35" s="184"/>
      <c r="AA35" s="184"/>
      <c r="AB35" s="184"/>
      <c r="AC35" s="184"/>
      <c r="AD35" s="184"/>
    </row>
    <row r="36" spans="1:30" x14ac:dyDescent="0.25">
      <c r="A36" s="184"/>
      <c r="B36" s="184"/>
      <c r="C36" s="184"/>
      <c r="D36" s="184"/>
      <c r="E36" s="184"/>
      <c r="F36" s="184"/>
      <c r="G36" s="184"/>
      <c r="H36" s="184"/>
      <c r="Y36" s="184"/>
      <c r="Z36" s="184"/>
      <c r="AA36" s="184"/>
      <c r="AB36" s="184"/>
      <c r="AC36" s="184"/>
      <c r="AD36" s="184"/>
    </row>
    <row r="37" spans="1:30" x14ac:dyDescent="0.25">
      <c r="A37" s="184"/>
      <c r="B37" s="184"/>
      <c r="C37" s="184"/>
      <c r="D37" s="184"/>
      <c r="E37" s="184"/>
      <c r="F37" s="184"/>
      <c r="G37" s="184"/>
      <c r="H37" s="184"/>
      <c r="Y37" s="184"/>
      <c r="Z37" s="184"/>
      <c r="AA37" s="184"/>
      <c r="AB37" s="184"/>
      <c r="AC37" s="184"/>
      <c r="AD37" s="184"/>
    </row>
    <row r="38" spans="1:30" x14ac:dyDescent="0.25">
      <c r="A38" s="184"/>
      <c r="B38" s="184"/>
      <c r="C38" s="184"/>
      <c r="D38" s="184"/>
      <c r="E38" s="184"/>
      <c r="F38" s="184"/>
      <c r="G38" s="184"/>
      <c r="H38" s="184"/>
      <c r="Y38" s="184"/>
      <c r="Z38" s="184"/>
      <c r="AA38" s="184"/>
      <c r="AB38" s="184"/>
      <c r="AC38" s="184"/>
      <c r="AD38" s="184"/>
    </row>
    <row r="39" spans="1:30" x14ac:dyDescent="0.25">
      <c r="A39" s="184"/>
      <c r="B39" s="184"/>
      <c r="C39" s="184"/>
      <c r="D39" s="184"/>
      <c r="E39" s="184"/>
      <c r="F39" s="184"/>
      <c r="G39" s="184"/>
      <c r="H39" s="184"/>
      <c r="Y39" s="184"/>
      <c r="Z39" s="184"/>
      <c r="AA39" s="184"/>
      <c r="AB39" s="184"/>
      <c r="AC39" s="184"/>
      <c r="AD39" s="184"/>
    </row>
    <row r="40" spans="1:30" x14ac:dyDescent="0.25">
      <c r="A40" s="184"/>
      <c r="B40" s="184"/>
      <c r="C40" s="184"/>
      <c r="D40" s="184"/>
      <c r="E40" s="184"/>
      <c r="F40" s="184"/>
      <c r="G40" s="184"/>
      <c r="H40" s="184"/>
      <c r="Y40" s="184"/>
      <c r="Z40" s="184"/>
      <c r="AA40" s="184"/>
      <c r="AB40" s="184"/>
      <c r="AC40" s="184"/>
      <c r="AD40" s="184"/>
    </row>
    <row r="41" spans="1:30" x14ac:dyDescent="0.25">
      <c r="A41" s="184"/>
      <c r="B41" s="184"/>
      <c r="C41" s="184"/>
      <c r="D41" s="184"/>
      <c r="E41" s="184"/>
      <c r="F41" s="184"/>
      <c r="G41" s="184"/>
      <c r="H41" s="184"/>
      <c r="Y41" s="184"/>
      <c r="Z41" s="184"/>
      <c r="AA41" s="184"/>
      <c r="AB41" s="184"/>
      <c r="AC41" s="184"/>
      <c r="AD41" s="184"/>
    </row>
    <row r="42" spans="1:30" x14ac:dyDescent="0.25">
      <c r="A42" s="184"/>
      <c r="B42" s="184"/>
      <c r="C42" s="184"/>
      <c r="D42" s="184"/>
      <c r="E42" s="184"/>
      <c r="F42" s="184"/>
      <c r="G42" s="184"/>
      <c r="H42" s="184"/>
      <c r="Y42" s="184"/>
      <c r="Z42" s="184"/>
      <c r="AA42" s="184"/>
      <c r="AB42" s="184"/>
      <c r="AC42" s="184"/>
      <c r="AD42" s="184"/>
    </row>
    <row r="43" spans="1:30" x14ac:dyDescent="0.25">
      <c r="A43" s="184"/>
      <c r="B43" s="184"/>
      <c r="C43" s="184"/>
      <c r="D43" s="184"/>
      <c r="E43" s="184"/>
      <c r="F43" s="184"/>
      <c r="G43" s="184"/>
      <c r="H43" s="184"/>
      <c r="Y43" s="184"/>
      <c r="Z43" s="184"/>
      <c r="AA43" s="184"/>
      <c r="AB43" s="184"/>
      <c r="AC43" s="184"/>
      <c r="AD43" s="184"/>
    </row>
    <row r="44" spans="1:30" x14ac:dyDescent="0.25">
      <c r="A44" s="184"/>
      <c r="B44" s="184"/>
      <c r="C44" s="184"/>
      <c r="D44" s="184"/>
      <c r="E44" s="184"/>
      <c r="F44" s="184"/>
      <c r="G44" s="184"/>
      <c r="H44" s="184"/>
      <c r="Y44" s="184"/>
      <c r="Z44" s="184"/>
      <c r="AA44" s="184"/>
      <c r="AB44" s="184"/>
      <c r="AC44" s="184"/>
      <c r="AD44" s="184"/>
    </row>
    <row r="45" spans="1:30" x14ac:dyDescent="0.25">
      <c r="A45" s="184"/>
      <c r="B45" s="184"/>
      <c r="C45" s="184"/>
      <c r="D45" s="184"/>
      <c r="E45" s="184"/>
      <c r="F45" s="184"/>
      <c r="G45" s="184"/>
      <c r="H45" s="184"/>
      <c r="Y45" s="184"/>
      <c r="Z45" s="184"/>
      <c r="AA45" s="184"/>
      <c r="AB45" s="184"/>
      <c r="AC45" s="184"/>
      <c r="AD45" s="184"/>
    </row>
    <row r="46" spans="1:30" x14ac:dyDescent="0.25">
      <c r="A46" s="184"/>
      <c r="B46" s="184"/>
      <c r="C46" s="184"/>
      <c r="D46" s="184"/>
      <c r="E46" s="184"/>
      <c r="F46" s="184"/>
      <c r="G46" s="184"/>
      <c r="H46" s="184"/>
      <c r="Y46" s="184"/>
      <c r="Z46" s="184"/>
      <c r="AA46" s="184"/>
      <c r="AB46" s="184"/>
      <c r="AC46" s="184"/>
      <c r="AD46" s="184"/>
    </row>
    <row r="47" spans="1:30" x14ac:dyDescent="0.25">
      <c r="A47" s="184"/>
      <c r="B47" s="184"/>
      <c r="C47" s="184"/>
      <c r="D47" s="184"/>
      <c r="E47" s="184"/>
      <c r="F47" s="184"/>
      <c r="G47" s="184"/>
      <c r="H47" s="184"/>
      <c r="Y47" s="184"/>
      <c r="Z47" s="184"/>
      <c r="AA47" s="184"/>
      <c r="AB47" s="184"/>
      <c r="AC47" s="184"/>
      <c r="AD47" s="184"/>
    </row>
    <row r="48" spans="1:30" x14ac:dyDescent="0.25">
      <c r="A48" s="184"/>
      <c r="B48" s="184"/>
      <c r="C48" s="184"/>
      <c r="D48" s="184"/>
      <c r="E48" s="184"/>
      <c r="F48" s="184"/>
      <c r="G48" s="184"/>
      <c r="H48" s="184"/>
      <c r="Y48" s="184"/>
      <c r="Z48" s="184"/>
      <c r="AA48" s="184"/>
      <c r="AB48" s="184"/>
      <c r="AC48" s="184"/>
      <c r="AD48" s="184"/>
    </row>
    <row r="49" spans="1:30" x14ac:dyDescent="0.25">
      <c r="A49" s="184"/>
      <c r="B49" s="184"/>
      <c r="C49" s="184"/>
      <c r="D49" s="184"/>
      <c r="E49" s="184"/>
      <c r="F49" s="184"/>
      <c r="G49" s="184"/>
      <c r="H49" s="184"/>
      <c r="Y49" s="184"/>
      <c r="Z49" s="184"/>
      <c r="AA49" s="184"/>
      <c r="AB49" s="184"/>
      <c r="AC49" s="184"/>
      <c r="AD49" s="184"/>
    </row>
    <row r="50" spans="1:30" x14ac:dyDescent="0.25">
      <c r="A50" s="184"/>
      <c r="B50" s="184"/>
      <c r="C50" s="184"/>
      <c r="D50" s="184"/>
      <c r="E50" s="184"/>
      <c r="F50" s="184"/>
      <c r="G50" s="184"/>
      <c r="H50" s="184"/>
      <c r="Y50" s="184"/>
      <c r="Z50" s="184"/>
      <c r="AA50" s="184"/>
      <c r="AB50" s="184"/>
      <c r="AC50" s="184"/>
      <c r="AD50" s="184"/>
    </row>
    <row r="51" spans="1:30" x14ac:dyDescent="0.25">
      <c r="A51" s="184"/>
      <c r="B51" s="184"/>
      <c r="C51" s="184"/>
      <c r="D51" s="184"/>
      <c r="E51" s="184"/>
      <c r="F51" s="184"/>
      <c r="G51" s="184"/>
      <c r="H51" s="184"/>
      <c r="Y51" s="184"/>
      <c r="Z51" s="184"/>
      <c r="AA51" s="184"/>
      <c r="AB51" s="184"/>
      <c r="AC51" s="184"/>
      <c r="AD51" s="184"/>
    </row>
    <row r="52" spans="1:30" x14ac:dyDescent="0.25">
      <c r="A52" s="184"/>
      <c r="B52" s="184"/>
      <c r="C52" s="184"/>
      <c r="D52" s="184"/>
      <c r="E52" s="184"/>
      <c r="F52" s="184"/>
      <c r="G52" s="184"/>
      <c r="H52" s="184"/>
      <c r="Y52" s="184"/>
      <c r="Z52" s="184"/>
      <c r="AA52" s="184"/>
      <c r="AB52" s="184"/>
      <c r="AC52" s="184"/>
      <c r="AD52" s="184"/>
    </row>
    <row r="53" spans="1:30" x14ac:dyDescent="0.25">
      <c r="A53" s="184"/>
      <c r="B53" s="184"/>
      <c r="C53" s="184"/>
      <c r="D53" s="184"/>
      <c r="E53" s="184"/>
      <c r="F53" s="184"/>
      <c r="G53" s="184"/>
      <c r="H53" s="184"/>
      <c r="Y53" s="184"/>
      <c r="Z53" s="184"/>
      <c r="AA53" s="184"/>
      <c r="AB53" s="184"/>
      <c r="AC53" s="184"/>
      <c r="AD53" s="184"/>
    </row>
    <row r="54" spans="1:30" x14ac:dyDescent="0.25">
      <c r="A54" s="184"/>
      <c r="B54" s="184"/>
      <c r="C54" s="184"/>
      <c r="D54" s="184"/>
      <c r="E54" s="184"/>
      <c r="F54" s="184"/>
      <c r="G54" s="184"/>
      <c r="H54" s="184"/>
      <c r="Y54" s="184"/>
      <c r="Z54" s="184"/>
      <c r="AA54" s="184"/>
      <c r="AB54" s="184"/>
      <c r="AC54" s="184"/>
      <c r="AD54" s="184"/>
    </row>
    <row r="55" spans="1:30" x14ac:dyDescent="0.25">
      <c r="A55" s="184"/>
      <c r="B55" s="184"/>
      <c r="C55" s="184"/>
      <c r="D55" s="184"/>
      <c r="E55" s="184"/>
      <c r="F55" s="184"/>
      <c r="G55" s="184"/>
      <c r="H55" s="184"/>
      <c r="Y55" s="184"/>
      <c r="Z55" s="184"/>
      <c r="AA55" s="184"/>
      <c r="AB55" s="184"/>
      <c r="AC55" s="184"/>
      <c r="AD55" s="184"/>
    </row>
    <row r="56" spans="1:30" x14ac:dyDescent="0.25">
      <c r="A56" s="184"/>
      <c r="B56" s="184"/>
      <c r="C56" s="184"/>
      <c r="D56" s="184"/>
      <c r="E56" s="184"/>
      <c r="F56" s="184"/>
      <c r="G56" s="184"/>
      <c r="H56" s="184"/>
      <c r="Y56" s="184"/>
      <c r="Z56" s="184"/>
      <c r="AA56" s="184"/>
      <c r="AB56" s="184"/>
      <c r="AC56" s="184"/>
      <c r="AD56" s="184"/>
    </row>
    <row r="57" spans="1:30" x14ac:dyDescent="0.25">
      <c r="A57" s="184"/>
      <c r="B57" s="184"/>
      <c r="C57" s="184"/>
      <c r="D57" s="184"/>
      <c r="E57" s="184"/>
      <c r="F57" s="184"/>
      <c r="G57" s="184"/>
      <c r="H57" s="184"/>
      <c r="Y57" s="184"/>
      <c r="Z57" s="184"/>
      <c r="AA57" s="184"/>
      <c r="AB57" s="184"/>
      <c r="AC57" s="184"/>
      <c r="AD57" s="184"/>
    </row>
    <row r="58" spans="1:30" x14ac:dyDescent="0.25">
      <c r="A58" s="184"/>
      <c r="B58" s="184"/>
      <c r="C58" s="184"/>
      <c r="D58" s="184"/>
      <c r="E58" s="184"/>
      <c r="F58" s="184"/>
      <c r="G58" s="184"/>
      <c r="H58" s="184"/>
      <c r="Y58" s="184"/>
      <c r="Z58" s="184"/>
      <c r="AA58" s="184"/>
      <c r="AB58" s="184"/>
      <c r="AC58" s="184"/>
      <c r="AD58" s="184"/>
    </row>
    <row r="59" spans="1:30" x14ac:dyDescent="0.25">
      <c r="A59" s="184"/>
      <c r="B59" s="184"/>
      <c r="C59" s="184"/>
      <c r="D59" s="184"/>
      <c r="E59" s="184"/>
      <c r="F59" s="184"/>
      <c r="G59" s="184"/>
      <c r="H59" s="184"/>
      <c r="Y59" s="184"/>
      <c r="Z59" s="184"/>
      <c r="AA59" s="184"/>
      <c r="AB59" s="184"/>
      <c r="AC59" s="184"/>
      <c r="AD59" s="184"/>
    </row>
    <row r="60" spans="1:30" x14ac:dyDescent="0.25">
      <c r="A60" s="184"/>
      <c r="B60" s="184"/>
      <c r="C60" s="184"/>
      <c r="D60" s="184"/>
      <c r="E60" s="184"/>
      <c r="F60" s="184"/>
      <c r="G60" s="184"/>
      <c r="H60" s="184"/>
      <c r="Y60" s="184"/>
      <c r="Z60" s="184"/>
      <c r="AA60" s="184"/>
      <c r="AB60" s="184"/>
      <c r="AC60" s="184"/>
      <c r="AD60" s="184"/>
    </row>
    <row r="61" spans="1:30" x14ac:dyDescent="0.25">
      <c r="A61" s="184"/>
      <c r="B61" s="184"/>
      <c r="C61" s="184"/>
      <c r="D61" s="184"/>
      <c r="E61" s="184"/>
      <c r="F61" s="184"/>
      <c r="G61" s="184"/>
      <c r="H61" s="184"/>
      <c r="Y61" s="184"/>
      <c r="Z61" s="184"/>
      <c r="AA61" s="184"/>
      <c r="AB61" s="184"/>
      <c r="AC61" s="184"/>
      <c r="AD61" s="184"/>
    </row>
    <row r="62" spans="1:30" x14ac:dyDescent="0.25">
      <c r="A62" s="184"/>
      <c r="B62" s="184"/>
      <c r="C62" s="184"/>
      <c r="D62" s="184"/>
      <c r="E62" s="184"/>
      <c r="F62" s="184"/>
      <c r="G62" s="184"/>
      <c r="H62" s="184"/>
      <c r="Y62" s="184"/>
      <c r="Z62" s="184"/>
      <c r="AA62" s="184"/>
      <c r="AB62" s="184"/>
      <c r="AC62" s="184"/>
      <c r="AD62" s="184"/>
    </row>
    <row r="63" spans="1:30" x14ac:dyDescent="0.25">
      <c r="A63" s="184"/>
      <c r="B63" s="184"/>
      <c r="C63" s="184"/>
      <c r="D63" s="184"/>
      <c r="E63" s="184"/>
      <c r="F63" s="184"/>
      <c r="G63" s="184"/>
      <c r="H63" s="184"/>
      <c r="Y63" s="184"/>
      <c r="Z63" s="184"/>
      <c r="AA63" s="184"/>
      <c r="AB63" s="184"/>
      <c r="AC63" s="184"/>
      <c r="AD63" s="184"/>
    </row>
    <row r="64" spans="1:30" x14ac:dyDescent="0.25">
      <c r="A64" s="184"/>
      <c r="B64" s="184"/>
      <c r="C64" s="184"/>
      <c r="D64" s="184"/>
      <c r="E64" s="184"/>
      <c r="F64" s="184"/>
      <c r="G64" s="184"/>
      <c r="H64" s="184"/>
      <c r="Y64" s="184"/>
      <c r="Z64" s="184"/>
      <c r="AA64" s="184"/>
      <c r="AB64" s="184"/>
      <c r="AC64" s="184"/>
      <c r="AD64" s="184"/>
    </row>
    <row r="65" spans="1:30" x14ac:dyDescent="0.25">
      <c r="A65" s="184"/>
      <c r="B65" s="184"/>
      <c r="C65" s="184"/>
      <c r="D65" s="184"/>
      <c r="E65" s="184"/>
      <c r="F65" s="184"/>
      <c r="G65" s="184"/>
      <c r="H65" s="184"/>
      <c r="Y65" s="184"/>
      <c r="Z65" s="184"/>
      <c r="AA65" s="184"/>
      <c r="AB65" s="184"/>
      <c r="AC65" s="184"/>
      <c r="AD65" s="184"/>
    </row>
    <row r="66" spans="1:30" x14ac:dyDescent="0.25">
      <c r="A66" s="184"/>
      <c r="B66" s="184"/>
      <c r="C66" s="184"/>
      <c r="D66" s="184"/>
      <c r="E66" s="184"/>
      <c r="F66" s="184"/>
      <c r="G66" s="184"/>
      <c r="H66" s="184"/>
      <c r="Y66" s="184"/>
      <c r="Z66" s="184"/>
      <c r="AA66" s="184"/>
      <c r="AB66" s="184"/>
      <c r="AC66" s="184"/>
      <c r="AD66" s="184"/>
    </row>
    <row r="67" spans="1:30" x14ac:dyDescent="0.25">
      <c r="A67" s="184"/>
      <c r="B67" s="184"/>
      <c r="C67" s="184"/>
      <c r="D67" s="184"/>
      <c r="E67" s="184"/>
      <c r="F67" s="184"/>
      <c r="G67" s="184"/>
      <c r="H67" s="184"/>
      <c r="Y67" s="184"/>
      <c r="Z67" s="184"/>
      <c r="AA67" s="184"/>
      <c r="AB67" s="184"/>
      <c r="AC67" s="184"/>
      <c r="AD67" s="184"/>
    </row>
    <row r="68" spans="1:30" x14ac:dyDescent="0.25">
      <c r="A68" s="184"/>
      <c r="B68" s="184"/>
      <c r="C68" s="184"/>
      <c r="D68" s="184"/>
      <c r="E68" s="184"/>
      <c r="F68" s="184"/>
      <c r="G68" s="184"/>
      <c r="H68" s="184"/>
      <c r="Y68" s="184"/>
      <c r="Z68" s="184"/>
      <c r="AA68" s="184"/>
      <c r="AB68" s="184"/>
      <c r="AC68" s="184"/>
      <c r="AD68" s="184"/>
    </row>
    <row r="69" spans="1:30" x14ac:dyDescent="0.25">
      <c r="A69" s="184"/>
      <c r="B69" s="184"/>
      <c r="C69" s="184"/>
      <c r="D69" s="184"/>
      <c r="E69" s="184"/>
      <c r="F69" s="184"/>
      <c r="G69" s="184"/>
      <c r="H69" s="184"/>
      <c r="Y69" s="184"/>
      <c r="Z69" s="184"/>
      <c r="AA69" s="184"/>
      <c r="AB69" s="184"/>
      <c r="AC69" s="184"/>
      <c r="AD69" s="184"/>
    </row>
    <row r="70" spans="1:30" x14ac:dyDescent="0.25">
      <c r="A70" s="184"/>
      <c r="B70" s="184"/>
      <c r="C70" s="184"/>
      <c r="D70" s="184"/>
      <c r="E70" s="184"/>
      <c r="F70" s="184"/>
      <c r="G70" s="184"/>
      <c r="H70" s="184"/>
      <c r="Y70" s="184"/>
      <c r="Z70" s="184"/>
      <c r="AA70" s="184"/>
      <c r="AB70" s="184"/>
      <c r="AC70" s="184"/>
      <c r="AD70" s="184"/>
    </row>
    <row r="71" spans="1:30" x14ac:dyDescent="0.25">
      <c r="A71" s="184"/>
      <c r="B71" s="184"/>
      <c r="C71" s="184"/>
      <c r="D71" s="184"/>
      <c r="E71" s="184"/>
      <c r="F71" s="184"/>
      <c r="G71" s="184"/>
      <c r="H71" s="184"/>
      <c r="Y71" s="184"/>
      <c r="Z71" s="184"/>
      <c r="AA71" s="184"/>
      <c r="AB71" s="184"/>
      <c r="AC71" s="184"/>
      <c r="AD71" s="184"/>
    </row>
    <row r="72" spans="1:30" x14ac:dyDescent="0.25">
      <c r="A72" s="184"/>
      <c r="B72" s="184"/>
      <c r="C72" s="184"/>
      <c r="D72" s="184"/>
      <c r="E72" s="184"/>
      <c r="F72" s="184"/>
      <c r="G72" s="184"/>
      <c r="H72" s="184"/>
      <c r="Y72" s="184"/>
      <c r="Z72" s="184"/>
      <c r="AA72" s="184"/>
      <c r="AB72" s="184"/>
      <c r="AC72" s="184"/>
      <c r="AD72" s="184"/>
    </row>
    <row r="73" spans="1:30" x14ac:dyDescent="0.25">
      <c r="A73" s="184"/>
      <c r="B73" s="184"/>
      <c r="C73" s="184"/>
      <c r="D73" s="184"/>
      <c r="E73" s="184"/>
      <c r="F73" s="184"/>
      <c r="G73" s="184"/>
      <c r="H73" s="184"/>
      <c r="Y73" s="184"/>
      <c r="Z73" s="184"/>
      <c r="AA73" s="184"/>
      <c r="AB73" s="184"/>
      <c r="AC73" s="184"/>
      <c r="AD73" s="184"/>
    </row>
    <row r="74" spans="1:30" x14ac:dyDescent="0.25">
      <c r="A74" s="184"/>
      <c r="B74" s="184"/>
      <c r="C74" s="184"/>
      <c r="D74" s="184"/>
      <c r="E74" s="184"/>
      <c r="F74" s="184"/>
      <c r="G74" s="184"/>
      <c r="H74" s="184"/>
      <c r="Y74" s="184"/>
      <c r="Z74" s="184"/>
      <c r="AA74" s="184"/>
      <c r="AB74" s="184"/>
      <c r="AC74" s="184"/>
      <c r="AD74" s="184"/>
    </row>
    <row r="75" spans="1:30" x14ac:dyDescent="0.25">
      <c r="A75" s="184"/>
      <c r="B75" s="184"/>
      <c r="C75" s="184"/>
      <c r="D75" s="184"/>
      <c r="E75" s="184"/>
      <c r="F75" s="184"/>
      <c r="G75" s="184"/>
      <c r="H75" s="184"/>
      <c r="Y75" s="184"/>
      <c r="Z75" s="184"/>
      <c r="AA75" s="184"/>
      <c r="AB75" s="184"/>
      <c r="AC75" s="184"/>
      <c r="AD75" s="184"/>
    </row>
    <row r="76" spans="1:30" x14ac:dyDescent="0.25">
      <c r="A76" s="184"/>
      <c r="B76" s="184"/>
      <c r="C76" s="184"/>
      <c r="D76" s="184"/>
      <c r="E76" s="184"/>
      <c r="F76" s="184"/>
      <c r="G76" s="184"/>
      <c r="H76" s="184"/>
      <c r="Y76" s="184"/>
      <c r="Z76" s="184"/>
      <c r="AA76" s="184"/>
      <c r="AB76" s="184"/>
      <c r="AC76" s="184"/>
      <c r="AD76" s="184"/>
    </row>
    <row r="77" spans="1:30" x14ac:dyDescent="0.25">
      <c r="A77" s="184"/>
      <c r="B77" s="184"/>
      <c r="C77" s="184"/>
      <c r="D77" s="184"/>
      <c r="E77" s="184"/>
      <c r="F77" s="184"/>
      <c r="G77" s="184"/>
      <c r="H77" s="184"/>
      <c r="Y77" s="184"/>
      <c r="Z77" s="184"/>
      <c r="AA77" s="184"/>
      <c r="AB77" s="184"/>
      <c r="AC77" s="184"/>
      <c r="AD77" s="184"/>
    </row>
    <row r="78" spans="1:30" x14ac:dyDescent="0.25">
      <c r="A78" s="184"/>
      <c r="B78" s="184"/>
      <c r="C78" s="184"/>
      <c r="D78" s="184"/>
      <c r="E78" s="184"/>
      <c r="F78" s="184"/>
      <c r="G78" s="184"/>
      <c r="H78" s="184"/>
      <c r="Y78" s="184"/>
      <c r="Z78" s="184"/>
      <c r="AA78" s="184"/>
      <c r="AB78" s="184"/>
      <c r="AC78" s="184"/>
      <c r="AD78" s="184"/>
    </row>
    <row r="79" spans="1:30" x14ac:dyDescent="0.25">
      <c r="A79" s="184"/>
      <c r="B79" s="184"/>
      <c r="C79" s="184"/>
      <c r="D79" s="184"/>
      <c r="E79" s="184"/>
      <c r="F79" s="184"/>
      <c r="G79" s="184"/>
      <c r="H79" s="184"/>
      <c r="Y79" s="184"/>
      <c r="Z79" s="184"/>
      <c r="AA79" s="184"/>
      <c r="AB79" s="184"/>
      <c r="AC79" s="184"/>
      <c r="AD79" s="184"/>
    </row>
    <row r="80" spans="1:30" x14ac:dyDescent="0.25">
      <c r="A80" s="184"/>
      <c r="B80" s="184"/>
      <c r="C80" s="184"/>
      <c r="D80" s="184"/>
      <c r="E80" s="184"/>
      <c r="F80" s="184"/>
      <c r="G80" s="184"/>
      <c r="H80" s="184"/>
      <c r="Y80" s="184"/>
      <c r="Z80" s="184"/>
      <c r="AA80" s="184"/>
      <c r="AB80" s="184"/>
      <c r="AC80" s="184"/>
      <c r="AD80" s="184"/>
    </row>
    <row r="81" spans="1:30" x14ac:dyDescent="0.25">
      <c r="A81" s="184"/>
      <c r="B81" s="184"/>
      <c r="C81" s="184"/>
      <c r="D81" s="184"/>
      <c r="E81" s="184"/>
      <c r="F81" s="184"/>
      <c r="G81" s="184"/>
      <c r="H81" s="184"/>
      <c r="Y81" s="184"/>
      <c r="Z81" s="184"/>
      <c r="AA81" s="184"/>
      <c r="AB81" s="184"/>
      <c r="AC81" s="184"/>
      <c r="AD81" s="184"/>
    </row>
    <row r="82" spans="1:30" x14ac:dyDescent="0.25">
      <c r="A82" s="184"/>
      <c r="B82" s="184"/>
      <c r="C82" s="184"/>
      <c r="D82" s="184"/>
      <c r="E82" s="184"/>
      <c r="F82" s="184"/>
      <c r="G82" s="184"/>
      <c r="H82" s="184"/>
      <c r="Y82" s="184"/>
      <c r="Z82" s="184"/>
      <c r="AA82" s="184"/>
      <c r="AB82" s="184"/>
      <c r="AC82" s="184"/>
      <c r="AD82" s="184"/>
    </row>
    <row r="83" spans="1:30" x14ac:dyDescent="0.25">
      <c r="A83" s="184"/>
      <c r="B83" s="184"/>
      <c r="C83" s="184"/>
      <c r="D83" s="184"/>
      <c r="E83" s="184"/>
      <c r="F83" s="184"/>
      <c r="G83" s="184"/>
      <c r="H83" s="184"/>
      <c r="Y83" s="184"/>
      <c r="Z83" s="184"/>
      <c r="AA83" s="184"/>
      <c r="AB83" s="184"/>
      <c r="AC83" s="184"/>
      <c r="AD83" s="184"/>
    </row>
    <row r="84" spans="1:30" x14ac:dyDescent="0.25">
      <c r="A84" s="184"/>
      <c r="B84" s="184"/>
      <c r="C84" s="184"/>
      <c r="D84" s="184"/>
      <c r="E84" s="184"/>
      <c r="F84" s="184"/>
      <c r="G84" s="184"/>
      <c r="H84" s="184"/>
      <c r="Y84" s="184"/>
      <c r="Z84" s="184"/>
      <c r="AA84" s="184"/>
      <c r="AB84" s="184"/>
      <c r="AC84" s="184"/>
      <c r="AD84" s="184"/>
    </row>
    <row r="85" spans="1:30" x14ac:dyDescent="0.25">
      <c r="A85" s="184"/>
      <c r="B85" s="184"/>
      <c r="C85" s="184"/>
      <c r="D85" s="184"/>
      <c r="E85" s="184"/>
      <c r="F85" s="184"/>
      <c r="G85" s="184"/>
      <c r="H85" s="184"/>
      <c r="Y85" s="184"/>
      <c r="Z85" s="184"/>
      <c r="AA85" s="184"/>
      <c r="AB85" s="184"/>
      <c r="AC85" s="184"/>
      <c r="AD85" s="184"/>
    </row>
    <row r="86" spans="1:30" x14ac:dyDescent="0.25">
      <c r="A86" s="184"/>
      <c r="B86" s="184"/>
      <c r="C86" s="184"/>
      <c r="D86" s="184"/>
      <c r="E86" s="184"/>
      <c r="F86" s="184"/>
      <c r="G86" s="184"/>
      <c r="H86" s="184"/>
      <c r="Y86" s="184"/>
      <c r="Z86" s="184"/>
      <c r="AA86" s="184"/>
      <c r="AB86" s="184"/>
      <c r="AC86" s="184"/>
      <c r="AD86" s="184"/>
    </row>
    <row r="87" spans="1:30" x14ac:dyDescent="0.25">
      <c r="A87" s="184"/>
      <c r="B87" s="184"/>
      <c r="C87" s="184"/>
      <c r="D87" s="184"/>
      <c r="E87" s="184"/>
      <c r="F87" s="184"/>
      <c r="G87" s="184"/>
      <c r="H87" s="184"/>
      <c r="Y87" s="184"/>
      <c r="Z87" s="184"/>
      <c r="AA87" s="184"/>
      <c r="AB87" s="184"/>
      <c r="AC87" s="184"/>
      <c r="AD87" s="184"/>
    </row>
    <row r="88" spans="1:30" x14ac:dyDescent="0.25">
      <c r="A88" s="184"/>
      <c r="B88" s="184"/>
      <c r="C88" s="184"/>
      <c r="D88" s="184"/>
      <c r="E88" s="184"/>
      <c r="F88" s="184"/>
      <c r="G88" s="184"/>
      <c r="H88" s="184"/>
      <c r="Y88" s="184"/>
      <c r="Z88" s="184"/>
      <c r="AA88" s="184"/>
      <c r="AB88" s="184"/>
      <c r="AC88" s="184"/>
      <c r="AD88" s="184"/>
    </row>
    <row r="89" spans="1:30" x14ac:dyDescent="0.25">
      <c r="A89" s="184"/>
      <c r="B89" s="184"/>
      <c r="C89" s="184"/>
      <c r="D89" s="184"/>
      <c r="E89" s="184"/>
      <c r="F89" s="184"/>
      <c r="G89" s="184"/>
      <c r="H89" s="184"/>
      <c r="Y89" s="184"/>
      <c r="Z89" s="184"/>
      <c r="AA89" s="184"/>
      <c r="AB89" s="184"/>
      <c r="AC89" s="184"/>
      <c r="AD89" s="184"/>
    </row>
    <row r="90" spans="1:30" x14ac:dyDescent="0.25">
      <c r="A90" s="184"/>
      <c r="B90" s="184"/>
      <c r="C90" s="184"/>
      <c r="D90" s="184"/>
      <c r="E90" s="184"/>
      <c r="F90" s="184"/>
      <c r="G90" s="184"/>
      <c r="H90" s="184"/>
      <c r="Y90" s="184"/>
      <c r="Z90" s="184"/>
      <c r="AA90" s="184"/>
      <c r="AB90" s="184"/>
      <c r="AC90" s="184"/>
      <c r="AD90" s="184"/>
    </row>
    <row r="91" spans="1:30" x14ac:dyDescent="0.25">
      <c r="A91" s="184"/>
      <c r="B91" s="184"/>
      <c r="C91" s="184"/>
      <c r="D91" s="184"/>
      <c r="E91" s="184"/>
      <c r="F91" s="184"/>
      <c r="G91" s="184"/>
      <c r="H91" s="184"/>
      <c r="Y91" s="184"/>
      <c r="Z91" s="184"/>
      <c r="AA91" s="184"/>
      <c r="AB91" s="184"/>
      <c r="AC91" s="184"/>
      <c r="AD91" s="184"/>
    </row>
    <row r="92" spans="1:30" x14ac:dyDescent="0.25">
      <c r="A92" s="184"/>
      <c r="B92" s="184"/>
      <c r="C92" s="184"/>
      <c r="D92" s="184"/>
      <c r="E92" s="184"/>
      <c r="F92" s="184"/>
      <c r="G92" s="184"/>
      <c r="H92" s="184"/>
      <c r="Y92" s="184"/>
      <c r="Z92" s="184"/>
      <c r="AA92" s="184"/>
      <c r="AB92" s="184"/>
      <c r="AC92" s="184"/>
      <c r="AD92" s="184"/>
    </row>
    <row r="93" spans="1:30" x14ac:dyDescent="0.25">
      <c r="A93" s="184"/>
      <c r="B93" s="184"/>
      <c r="C93" s="184"/>
      <c r="D93" s="184"/>
      <c r="E93" s="184"/>
      <c r="F93" s="184"/>
      <c r="G93" s="184"/>
      <c r="H93" s="184"/>
      <c r="Y93" s="184"/>
      <c r="Z93" s="184"/>
      <c r="AA93" s="184"/>
      <c r="AB93" s="184"/>
      <c r="AC93" s="184"/>
      <c r="AD93" s="184"/>
    </row>
    <row r="94" spans="1:30" x14ac:dyDescent="0.25">
      <c r="A94" s="184"/>
      <c r="B94" s="184"/>
      <c r="C94" s="184"/>
      <c r="D94" s="184"/>
      <c r="E94" s="184"/>
      <c r="F94" s="184"/>
      <c r="G94" s="184"/>
      <c r="H94" s="184"/>
      <c r="Y94" s="184"/>
      <c r="Z94" s="184"/>
      <c r="AA94" s="184"/>
      <c r="AB94" s="184"/>
      <c r="AC94" s="184"/>
      <c r="AD94" s="184"/>
    </row>
    <row r="95" spans="1:30" x14ac:dyDescent="0.25">
      <c r="A95" s="184"/>
      <c r="B95" s="184"/>
      <c r="C95" s="184"/>
      <c r="D95" s="184"/>
      <c r="E95" s="184"/>
      <c r="F95" s="184"/>
      <c r="G95" s="184"/>
      <c r="H95" s="184"/>
      <c r="Y95" s="184"/>
      <c r="Z95" s="184"/>
      <c r="AA95" s="184"/>
      <c r="AB95" s="184"/>
      <c r="AC95" s="184"/>
      <c r="AD95" s="184"/>
    </row>
    <row r="96" spans="1:30" x14ac:dyDescent="0.25">
      <c r="A96" s="184"/>
      <c r="B96" s="184"/>
      <c r="C96" s="184"/>
      <c r="D96" s="184"/>
      <c r="E96" s="184"/>
      <c r="F96" s="184"/>
      <c r="G96" s="184"/>
      <c r="H96" s="184"/>
      <c r="Y96" s="184"/>
      <c r="Z96" s="184"/>
      <c r="AA96" s="184"/>
      <c r="AB96" s="184"/>
      <c r="AC96" s="184"/>
      <c r="AD96" s="184"/>
    </row>
    <row r="97" spans="1:30" x14ac:dyDescent="0.25">
      <c r="A97" s="184"/>
      <c r="B97" s="184"/>
      <c r="C97" s="184"/>
      <c r="D97" s="184"/>
      <c r="E97" s="184"/>
      <c r="F97" s="184"/>
      <c r="G97" s="184"/>
      <c r="H97" s="184"/>
      <c r="Y97" s="184"/>
      <c r="Z97" s="184"/>
      <c r="AA97" s="184"/>
      <c r="AB97" s="184"/>
      <c r="AC97" s="184"/>
      <c r="AD97" s="184"/>
    </row>
    <row r="98" spans="1:30" x14ac:dyDescent="0.25">
      <c r="A98" s="184"/>
      <c r="B98" s="184"/>
      <c r="C98" s="184"/>
      <c r="D98" s="184"/>
      <c r="E98" s="184"/>
      <c r="F98" s="184"/>
      <c r="G98" s="184"/>
      <c r="H98" s="184"/>
      <c r="Y98" s="184"/>
      <c r="Z98" s="184"/>
      <c r="AA98" s="184"/>
      <c r="AB98" s="184"/>
      <c r="AC98" s="184"/>
      <c r="AD98" s="184"/>
    </row>
    <row r="99" spans="1:30" x14ac:dyDescent="0.25">
      <c r="A99" s="184"/>
      <c r="B99" s="184"/>
      <c r="C99" s="184"/>
      <c r="D99" s="184"/>
      <c r="E99" s="184"/>
      <c r="F99" s="184"/>
      <c r="G99" s="184"/>
      <c r="H99" s="184"/>
      <c r="Y99" s="184"/>
      <c r="Z99" s="184"/>
      <c r="AA99" s="184"/>
      <c r="AB99" s="184"/>
      <c r="AC99" s="184"/>
      <c r="AD99" s="184"/>
    </row>
    <row r="100" spans="1:30" x14ac:dyDescent="0.25">
      <c r="A100" s="184"/>
      <c r="B100" s="184"/>
      <c r="C100" s="184"/>
      <c r="D100" s="184"/>
      <c r="E100" s="184"/>
      <c r="F100" s="184"/>
      <c r="G100" s="184"/>
      <c r="H100" s="184"/>
      <c r="Y100" s="184"/>
      <c r="Z100" s="184"/>
      <c r="AA100" s="184"/>
      <c r="AB100" s="184"/>
      <c r="AC100" s="184"/>
      <c r="AD100" s="184"/>
    </row>
    <row r="101" spans="1:30" x14ac:dyDescent="0.25">
      <c r="A101" s="184"/>
      <c r="B101" s="184"/>
      <c r="C101" s="184"/>
      <c r="D101" s="184"/>
      <c r="E101" s="184"/>
      <c r="F101" s="184"/>
      <c r="G101" s="184"/>
      <c r="H101" s="184"/>
      <c r="Y101" s="184"/>
      <c r="Z101" s="184"/>
      <c r="AA101" s="184"/>
      <c r="AB101" s="184"/>
      <c r="AC101" s="184"/>
      <c r="AD101" s="184"/>
    </row>
    <row r="102" spans="1:30" x14ac:dyDescent="0.25">
      <c r="A102" s="184"/>
      <c r="B102" s="184"/>
      <c r="C102" s="184"/>
      <c r="D102" s="184"/>
      <c r="E102" s="184"/>
      <c r="F102" s="184"/>
      <c r="G102" s="184"/>
      <c r="H102" s="184"/>
      <c r="Y102" s="184"/>
      <c r="Z102" s="184"/>
      <c r="AA102" s="184"/>
      <c r="AB102" s="184"/>
      <c r="AC102" s="184"/>
      <c r="AD102" s="184"/>
    </row>
    <row r="103" spans="1:30" x14ac:dyDescent="0.25">
      <c r="A103" s="184"/>
      <c r="B103" s="184"/>
      <c r="C103" s="184"/>
      <c r="D103" s="184"/>
      <c r="E103" s="184"/>
      <c r="F103" s="184"/>
      <c r="G103" s="184"/>
      <c r="H103" s="184"/>
      <c r="Y103" s="184"/>
      <c r="Z103" s="184"/>
      <c r="AA103" s="184"/>
      <c r="AB103" s="184"/>
      <c r="AC103" s="184"/>
      <c r="AD103" s="184"/>
    </row>
    <row r="104" spans="1:30" x14ac:dyDescent="0.25">
      <c r="A104" s="184"/>
      <c r="B104" s="184"/>
      <c r="C104" s="184"/>
      <c r="D104" s="184"/>
      <c r="E104" s="184"/>
      <c r="F104" s="184"/>
      <c r="G104" s="184"/>
      <c r="H104" s="184"/>
      <c r="Y104" s="184"/>
      <c r="Z104" s="184"/>
      <c r="AA104" s="184"/>
      <c r="AB104" s="184"/>
      <c r="AC104" s="184"/>
      <c r="AD104" s="184"/>
    </row>
    <row r="105" spans="1:30" x14ac:dyDescent="0.25">
      <c r="A105" s="184"/>
      <c r="B105" s="184"/>
      <c r="C105" s="184"/>
      <c r="D105" s="184"/>
      <c r="E105" s="184"/>
      <c r="F105" s="184"/>
      <c r="G105" s="184"/>
      <c r="H105" s="184"/>
      <c r="Y105" s="184"/>
      <c r="Z105" s="184"/>
      <c r="AA105" s="184"/>
      <c r="AB105" s="184"/>
      <c r="AC105" s="184"/>
      <c r="AD105" s="184"/>
    </row>
    <row r="106" spans="1:30" x14ac:dyDescent="0.25">
      <c r="A106" s="184"/>
      <c r="B106" s="184"/>
      <c r="C106" s="184"/>
      <c r="D106" s="184"/>
      <c r="E106" s="184"/>
      <c r="F106" s="184"/>
      <c r="G106" s="184"/>
      <c r="H106" s="184"/>
      <c r="Y106" s="184"/>
      <c r="Z106" s="184"/>
      <c r="AA106" s="184"/>
      <c r="AB106" s="184"/>
      <c r="AC106" s="184"/>
      <c r="AD106" s="184"/>
    </row>
    <row r="107" spans="1:30" x14ac:dyDescent="0.25">
      <c r="A107" s="184"/>
      <c r="B107" s="184"/>
      <c r="C107" s="184"/>
      <c r="D107" s="184"/>
      <c r="E107" s="184"/>
      <c r="F107" s="184"/>
      <c r="G107" s="184"/>
      <c r="H107" s="184"/>
      <c r="Y107" s="184"/>
      <c r="Z107" s="184"/>
      <c r="AA107" s="184"/>
      <c r="AB107" s="184"/>
      <c r="AC107" s="184"/>
      <c r="AD107" s="184"/>
    </row>
    <row r="108" spans="1:30" x14ac:dyDescent="0.25">
      <c r="A108" s="184"/>
      <c r="B108" s="184"/>
      <c r="C108" s="184"/>
      <c r="D108" s="184"/>
      <c r="E108" s="184"/>
      <c r="F108" s="184"/>
      <c r="G108" s="184"/>
      <c r="H108" s="184"/>
      <c r="Y108" s="184"/>
      <c r="Z108" s="184"/>
      <c r="AA108" s="184"/>
      <c r="AB108" s="184"/>
      <c r="AC108" s="184"/>
      <c r="AD108" s="184"/>
    </row>
    <row r="109" spans="1:30" x14ac:dyDescent="0.25">
      <c r="A109" s="184"/>
      <c r="B109" s="184"/>
      <c r="C109" s="184"/>
      <c r="D109" s="184"/>
      <c r="E109" s="184"/>
      <c r="F109" s="184"/>
      <c r="G109" s="184"/>
      <c r="H109" s="184"/>
      <c r="Y109" s="184"/>
      <c r="Z109" s="184"/>
      <c r="AA109" s="184"/>
      <c r="AB109" s="184"/>
      <c r="AC109" s="184"/>
      <c r="AD109" s="184"/>
    </row>
    <row r="110" spans="1:30" x14ac:dyDescent="0.25">
      <c r="A110" s="184"/>
      <c r="B110" s="184"/>
      <c r="C110" s="184"/>
      <c r="D110" s="184"/>
      <c r="E110" s="184"/>
      <c r="F110" s="184"/>
      <c r="G110" s="184"/>
      <c r="H110" s="184"/>
      <c r="Y110" s="184"/>
      <c r="Z110" s="184"/>
      <c r="AA110" s="184"/>
      <c r="AB110" s="184"/>
      <c r="AC110" s="184"/>
      <c r="AD110" s="184"/>
    </row>
    <row r="111" spans="1:30" x14ac:dyDescent="0.25">
      <c r="A111" s="184"/>
      <c r="B111" s="184"/>
      <c r="C111" s="184"/>
      <c r="D111" s="184"/>
      <c r="E111" s="184"/>
      <c r="F111" s="184"/>
      <c r="G111" s="184"/>
      <c r="H111" s="184"/>
      <c r="Y111" s="184"/>
      <c r="Z111" s="184"/>
      <c r="AA111" s="184"/>
      <c r="AB111" s="184"/>
      <c r="AC111" s="184"/>
      <c r="AD111" s="184"/>
    </row>
    <row r="112" spans="1:30" x14ac:dyDescent="0.25">
      <c r="A112" s="184"/>
      <c r="B112" s="184"/>
      <c r="C112" s="184"/>
      <c r="D112" s="184"/>
      <c r="E112" s="184"/>
      <c r="F112" s="184"/>
      <c r="G112" s="184"/>
      <c r="H112" s="184"/>
      <c r="Y112" s="184"/>
      <c r="Z112" s="184"/>
      <c r="AA112" s="184"/>
      <c r="AB112" s="184"/>
      <c r="AC112" s="184"/>
      <c r="AD112" s="184"/>
    </row>
    <row r="113" spans="1:30" x14ac:dyDescent="0.25">
      <c r="A113" s="184"/>
      <c r="B113" s="184"/>
      <c r="C113" s="184"/>
      <c r="D113" s="184"/>
      <c r="E113" s="184"/>
      <c r="F113" s="184"/>
      <c r="G113" s="184"/>
      <c r="H113" s="184"/>
      <c r="Y113" s="184"/>
      <c r="Z113" s="184"/>
      <c r="AA113" s="184"/>
      <c r="AB113" s="184"/>
      <c r="AC113" s="184"/>
      <c r="AD113" s="184"/>
    </row>
    <row r="114" spans="1:30" x14ac:dyDescent="0.25">
      <c r="A114" s="184"/>
      <c r="B114" s="184"/>
      <c r="C114" s="184"/>
      <c r="D114" s="184"/>
      <c r="E114" s="184"/>
      <c r="F114" s="184"/>
      <c r="G114" s="184"/>
      <c r="H114" s="184"/>
      <c r="Y114" s="184"/>
      <c r="Z114" s="184"/>
      <c r="AA114" s="184"/>
      <c r="AB114" s="184"/>
      <c r="AC114" s="184"/>
      <c r="AD114" s="184"/>
    </row>
    <row r="115" spans="1:30" x14ac:dyDescent="0.25">
      <c r="A115" s="184"/>
      <c r="B115" s="184"/>
      <c r="C115" s="184"/>
      <c r="D115" s="184"/>
      <c r="E115" s="184"/>
      <c r="F115" s="184"/>
      <c r="G115" s="184"/>
      <c r="H115" s="184"/>
      <c r="Y115" s="184"/>
      <c r="Z115" s="184"/>
      <c r="AA115" s="184"/>
      <c r="AB115" s="184"/>
      <c r="AC115" s="184"/>
      <c r="AD115" s="184"/>
    </row>
    <row r="116" spans="1:30" x14ac:dyDescent="0.25">
      <c r="A116" s="184"/>
      <c r="B116" s="184"/>
      <c r="C116" s="184"/>
      <c r="D116" s="184"/>
      <c r="E116" s="184"/>
      <c r="F116" s="184"/>
      <c r="G116" s="184"/>
      <c r="H116" s="184"/>
      <c r="Y116" s="184"/>
      <c r="Z116" s="184"/>
      <c r="AA116" s="184"/>
      <c r="AB116" s="184"/>
      <c r="AC116" s="184"/>
      <c r="AD116" s="184"/>
    </row>
    <row r="117" spans="1:30" x14ac:dyDescent="0.25">
      <c r="A117" s="184"/>
      <c r="B117" s="184"/>
      <c r="C117" s="184"/>
      <c r="D117" s="184"/>
      <c r="E117" s="184"/>
      <c r="F117" s="184"/>
      <c r="G117" s="184"/>
      <c r="H117" s="184"/>
      <c r="Y117" s="184"/>
      <c r="Z117" s="184"/>
      <c r="AA117" s="184"/>
      <c r="AB117" s="184"/>
      <c r="AC117" s="184"/>
      <c r="AD117" s="184"/>
    </row>
    <row r="118" spans="1:30" x14ac:dyDescent="0.25">
      <c r="A118" s="184"/>
      <c r="B118" s="184"/>
      <c r="C118" s="184"/>
      <c r="D118" s="184"/>
      <c r="E118" s="184"/>
      <c r="F118" s="184"/>
      <c r="G118" s="184"/>
      <c r="H118" s="184"/>
      <c r="Y118" s="184"/>
      <c r="Z118" s="184"/>
      <c r="AA118" s="184"/>
      <c r="AB118" s="184"/>
      <c r="AC118" s="184"/>
      <c r="AD118" s="184"/>
    </row>
    <row r="119" spans="1:30" x14ac:dyDescent="0.25">
      <c r="A119" s="184"/>
      <c r="B119" s="184"/>
      <c r="C119" s="184"/>
      <c r="D119" s="184"/>
      <c r="E119" s="184"/>
      <c r="F119" s="184"/>
      <c r="G119" s="184"/>
      <c r="H119" s="184"/>
      <c r="Y119" s="184"/>
      <c r="Z119" s="184"/>
      <c r="AA119" s="184"/>
      <c r="AB119" s="184"/>
      <c r="AC119" s="184"/>
      <c r="AD119" s="184"/>
    </row>
    <row r="120" spans="1:30" x14ac:dyDescent="0.25">
      <c r="A120" s="184"/>
      <c r="B120" s="184"/>
      <c r="C120" s="184"/>
      <c r="D120" s="184"/>
      <c r="E120" s="184"/>
      <c r="F120" s="184"/>
      <c r="G120" s="184"/>
      <c r="H120" s="184"/>
      <c r="Y120" s="184"/>
      <c r="Z120" s="184"/>
      <c r="AA120" s="184"/>
      <c r="AB120" s="184"/>
      <c r="AC120" s="184"/>
      <c r="AD120" s="184"/>
    </row>
    <row r="121" spans="1:30" x14ac:dyDescent="0.25">
      <c r="A121" s="184"/>
      <c r="B121" s="184"/>
      <c r="C121" s="184"/>
      <c r="D121" s="184"/>
      <c r="E121" s="184"/>
      <c r="F121" s="184"/>
      <c r="G121" s="184"/>
      <c r="H121" s="184"/>
      <c r="Y121" s="184"/>
      <c r="Z121" s="184"/>
      <c r="AA121" s="184"/>
      <c r="AB121" s="184"/>
      <c r="AC121" s="184"/>
      <c r="AD121" s="184"/>
    </row>
    <row r="122" spans="1:30" x14ac:dyDescent="0.25">
      <c r="A122" s="184"/>
      <c r="B122" s="184"/>
      <c r="C122" s="184"/>
      <c r="D122" s="184"/>
      <c r="E122" s="184"/>
      <c r="F122" s="184"/>
      <c r="G122" s="184"/>
      <c r="H122" s="184"/>
      <c r="Y122" s="184"/>
      <c r="Z122" s="184"/>
      <c r="AA122" s="184"/>
      <c r="AB122" s="184"/>
      <c r="AC122" s="184"/>
      <c r="AD122" s="184"/>
    </row>
    <row r="123" spans="1:30" x14ac:dyDescent="0.25">
      <c r="A123" s="184"/>
      <c r="B123" s="184"/>
      <c r="C123" s="184"/>
      <c r="D123" s="184"/>
      <c r="E123" s="184"/>
      <c r="F123" s="184"/>
      <c r="G123" s="184"/>
      <c r="H123" s="184"/>
      <c r="Y123" s="184"/>
      <c r="Z123" s="184"/>
      <c r="AA123" s="184"/>
      <c r="AB123" s="184"/>
      <c r="AC123" s="184"/>
      <c r="AD123" s="184"/>
    </row>
    <row r="124" spans="1:30" x14ac:dyDescent="0.25">
      <c r="A124" s="184"/>
      <c r="B124" s="184"/>
      <c r="C124" s="184"/>
      <c r="D124" s="184"/>
      <c r="E124" s="184"/>
      <c r="F124" s="184"/>
      <c r="G124" s="184"/>
      <c r="H124" s="184"/>
      <c r="Y124" s="184"/>
      <c r="Z124" s="184"/>
      <c r="AA124" s="184"/>
      <c r="AB124" s="184"/>
      <c r="AC124" s="184"/>
      <c r="AD124" s="184"/>
    </row>
    <row r="125" spans="1:30" x14ac:dyDescent="0.25">
      <c r="A125" s="184"/>
      <c r="B125" s="184"/>
      <c r="C125" s="184"/>
      <c r="D125" s="184"/>
      <c r="E125" s="184"/>
      <c r="F125" s="184"/>
      <c r="G125" s="184"/>
      <c r="H125" s="184"/>
      <c r="Y125" s="184"/>
      <c r="Z125" s="184"/>
      <c r="AA125" s="184"/>
      <c r="AB125" s="184"/>
      <c r="AC125" s="184"/>
      <c r="AD125" s="184"/>
    </row>
    <row r="126" spans="1:30" x14ac:dyDescent="0.25">
      <c r="A126" s="184"/>
      <c r="B126" s="184"/>
      <c r="C126" s="184"/>
      <c r="D126" s="184"/>
      <c r="E126" s="184"/>
      <c r="F126" s="184"/>
      <c r="G126" s="184"/>
      <c r="H126" s="184"/>
      <c r="Y126" s="184"/>
      <c r="Z126" s="184"/>
      <c r="AA126" s="184"/>
      <c r="AB126" s="184"/>
      <c r="AC126" s="184"/>
      <c r="AD126" s="184"/>
    </row>
    <row r="127" spans="1:30" x14ac:dyDescent="0.25">
      <c r="A127" s="184"/>
      <c r="B127" s="184"/>
      <c r="C127" s="184"/>
      <c r="D127" s="184"/>
      <c r="E127" s="184"/>
      <c r="F127" s="184"/>
      <c r="G127" s="184"/>
      <c r="H127" s="184"/>
      <c r="Y127" s="184"/>
      <c r="Z127" s="184"/>
      <c r="AA127" s="184"/>
      <c r="AB127" s="184"/>
      <c r="AC127" s="184"/>
      <c r="AD127" s="184"/>
    </row>
    <row r="128" spans="1:30" x14ac:dyDescent="0.25">
      <c r="A128" s="184"/>
      <c r="B128" s="184"/>
      <c r="C128" s="184"/>
      <c r="D128" s="184"/>
      <c r="E128" s="184"/>
      <c r="F128" s="184"/>
      <c r="G128" s="184"/>
      <c r="H128" s="184"/>
      <c r="Y128" s="184"/>
      <c r="Z128" s="184"/>
      <c r="AA128" s="184"/>
      <c r="AB128" s="184"/>
      <c r="AC128" s="184"/>
      <c r="AD128" s="184"/>
    </row>
    <row r="129" spans="1:30" x14ac:dyDescent="0.25">
      <c r="A129" s="184"/>
      <c r="B129" s="184"/>
      <c r="C129" s="184"/>
      <c r="D129" s="184"/>
      <c r="E129" s="184"/>
      <c r="F129" s="184"/>
      <c r="G129" s="184"/>
      <c r="H129" s="184"/>
      <c r="Y129" s="184"/>
      <c r="Z129" s="184"/>
      <c r="AA129" s="184"/>
      <c r="AB129" s="184"/>
      <c r="AC129" s="184"/>
      <c r="AD129" s="184"/>
    </row>
    <row r="130" spans="1:30" x14ac:dyDescent="0.25">
      <c r="A130" s="184"/>
      <c r="B130" s="184"/>
      <c r="C130" s="184"/>
      <c r="D130" s="184"/>
      <c r="E130" s="184"/>
      <c r="F130" s="184"/>
      <c r="G130" s="184"/>
      <c r="H130" s="184"/>
      <c r="Y130" s="184"/>
      <c r="Z130" s="184"/>
      <c r="AA130" s="184"/>
      <c r="AB130" s="184"/>
      <c r="AC130" s="184"/>
      <c r="AD130" s="184"/>
    </row>
    <row r="131" spans="1:30" x14ac:dyDescent="0.25">
      <c r="A131" s="184"/>
      <c r="B131" s="184"/>
      <c r="C131" s="184"/>
      <c r="D131" s="184"/>
      <c r="E131" s="184"/>
      <c r="F131" s="184"/>
      <c r="G131" s="184"/>
      <c r="H131" s="184"/>
      <c r="Y131" s="184"/>
      <c r="Z131" s="184"/>
      <c r="AA131" s="184"/>
      <c r="AB131" s="184"/>
      <c r="AC131" s="184"/>
      <c r="AD131" s="184"/>
    </row>
    <row r="132" spans="1:30" x14ac:dyDescent="0.25">
      <c r="A132" s="184"/>
      <c r="B132" s="184"/>
      <c r="C132" s="184"/>
      <c r="D132" s="184"/>
      <c r="E132" s="184"/>
      <c r="F132" s="184"/>
      <c r="G132" s="184"/>
      <c r="H132" s="184"/>
      <c r="Y132" s="184"/>
      <c r="Z132" s="184"/>
      <c r="AA132" s="184"/>
      <c r="AB132" s="184"/>
      <c r="AC132" s="184"/>
      <c r="AD132" s="184"/>
    </row>
    <row r="133" spans="1:30" x14ac:dyDescent="0.25">
      <c r="A133" s="184"/>
      <c r="B133" s="184"/>
      <c r="C133" s="184"/>
      <c r="D133" s="184"/>
      <c r="E133" s="184"/>
      <c r="F133" s="184"/>
      <c r="G133" s="184"/>
      <c r="H133" s="184"/>
      <c r="Y133" s="184"/>
      <c r="Z133" s="184"/>
      <c r="AA133" s="184"/>
      <c r="AB133" s="184"/>
      <c r="AC133" s="184"/>
      <c r="AD133" s="184"/>
    </row>
    <row r="134" spans="1:30" x14ac:dyDescent="0.25">
      <c r="A134" s="184"/>
      <c r="B134" s="184"/>
      <c r="C134" s="184"/>
      <c r="D134" s="184"/>
      <c r="E134" s="184"/>
      <c r="F134" s="184"/>
      <c r="G134" s="184"/>
      <c r="H134" s="184"/>
      <c r="Y134" s="184"/>
      <c r="Z134" s="184"/>
      <c r="AA134" s="184"/>
      <c r="AB134" s="184"/>
      <c r="AC134" s="184"/>
      <c r="AD134" s="184"/>
    </row>
    <row r="135" spans="1:30" x14ac:dyDescent="0.25">
      <c r="A135" s="184"/>
      <c r="B135" s="184"/>
      <c r="C135" s="184"/>
      <c r="D135" s="184"/>
      <c r="E135" s="184"/>
      <c r="F135" s="184"/>
      <c r="G135" s="184"/>
      <c r="H135" s="184"/>
      <c r="Y135" s="184"/>
      <c r="Z135" s="184"/>
      <c r="AA135" s="184"/>
      <c r="AB135" s="184"/>
      <c r="AC135" s="184"/>
      <c r="AD135" s="184"/>
    </row>
    <row r="136" spans="1:30" x14ac:dyDescent="0.25">
      <c r="A136" s="184"/>
      <c r="B136" s="184"/>
      <c r="C136" s="184"/>
      <c r="D136" s="184"/>
      <c r="E136" s="184"/>
      <c r="F136" s="184"/>
      <c r="G136" s="184"/>
      <c r="H136" s="184"/>
      <c r="Y136" s="184"/>
      <c r="Z136" s="184"/>
      <c r="AA136" s="184"/>
      <c r="AB136" s="184"/>
      <c r="AC136" s="184"/>
      <c r="AD136" s="184"/>
    </row>
    <row r="137" spans="1:30" x14ac:dyDescent="0.25">
      <c r="A137" s="184"/>
      <c r="B137" s="184"/>
      <c r="C137" s="184"/>
      <c r="D137" s="184"/>
      <c r="E137" s="184"/>
      <c r="F137" s="184"/>
      <c r="G137" s="184"/>
      <c r="H137" s="184"/>
      <c r="Y137" s="184"/>
      <c r="Z137" s="184"/>
      <c r="AA137" s="184"/>
      <c r="AB137" s="184"/>
      <c r="AC137" s="184"/>
      <c r="AD137" s="184"/>
    </row>
    <row r="138" spans="1:30" x14ac:dyDescent="0.25">
      <c r="A138" s="184"/>
      <c r="B138" s="184"/>
      <c r="C138" s="184"/>
      <c r="D138" s="184"/>
      <c r="E138" s="184"/>
      <c r="F138" s="184"/>
      <c r="G138" s="184"/>
      <c r="H138" s="184"/>
      <c r="Y138" s="184"/>
      <c r="Z138" s="184"/>
      <c r="AA138" s="184"/>
      <c r="AB138" s="184"/>
      <c r="AC138" s="184"/>
      <c r="AD138" s="184"/>
    </row>
    <row r="139" spans="1:30" x14ac:dyDescent="0.25">
      <c r="A139" s="184"/>
      <c r="B139" s="184"/>
      <c r="C139" s="184"/>
      <c r="D139" s="184"/>
      <c r="E139" s="184"/>
      <c r="F139" s="184"/>
      <c r="G139" s="184"/>
      <c r="H139" s="184"/>
      <c r="Y139" s="184"/>
      <c r="Z139" s="184"/>
      <c r="AA139" s="184"/>
      <c r="AB139" s="184"/>
      <c r="AC139" s="184"/>
      <c r="AD139" s="184"/>
    </row>
    <row r="140" spans="1:30" x14ac:dyDescent="0.25">
      <c r="A140" s="184"/>
      <c r="B140" s="184"/>
      <c r="C140" s="184"/>
      <c r="D140" s="184"/>
      <c r="E140" s="184"/>
      <c r="F140" s="184"/>
      <c r="G140" s="184"/>
      <c r="H140" s="184"/>
      <c r="Y140" s="184"/>
      <c r="Z140" s="184"/>
      <c r="AA140" s="184"/>
      <c r="AB140" s="184"/>
      <c r="AC140" s="184"/>
      <c r="AD140" s="184"/>
    </row>
    <row r="141" spans="1:30" x14ac:dyDescent="0.25">
      <c r="A141" s="184"/>
      <c r="B141" s="184"/>
      <c r="C141" s="184"/>
      <c r="D141" s="184"/>
      <c r="E141" s="184"/>
      <c r="F141" s="184"/>
      <c r="G141" s="184"/>
      <c r="H141" s="184"/>
      <c r="Y141" s="184"/>
      <c r="Z141" s="184"/>
      <c r="AA141" s="184"/>
      <c r="AB141" s="184"/>
      <c r="AC141" s="184"/>
      <c r="AD141" s="184"/>
    </row>
    <row r="142" spans="1:30" x14ac:dyDescent="0.25">
      <c r="A142" s="184"/>
      <c r="B142" s="184"/>
      <c r="C142" s="184"/>
      <c r="D142" s="184"/>
      <c r="E142" s="184"/>
      <c r="F142" s="184"/>
      <c r="G142" s="184"/>
      <c r="H142" s="184"/>
      <c r="Y142" s="184"/>
      <c r="Z142" s="184"/>
      <c r="AA142" s="184"/>
      <c r="AB142" s="184"/>
      <c r="AC142" s="184"/>
      <c r="AD142" s="184"/>
    </row>
    <row r="143" spans="1:30" x14ac:dyDescent="0.25">
      <c r="A143" s="184"/>
      <c r="B143" s="184"/>
      <c r="C143" s="184"/>
      <c r="D143" s="184"/>
      <c r="E143" s="184"/>
      <c r="F143" s="184"/>
      <c r="G143" s="184"/>
      <c r="H143" s="184"/>
      <c r="Y143" s="184"/>
      <c r="Z143" s="184"/>
      <c r="AA143" s="184"/>
      <c r="AB143" s="184"/>
      <c r="AC143" s="184"/>
      <c r="AD143" s="184"/>
    </row>
    <row r="144" spans="1:30" x14ac:dyDescent="0.25">
      <c r="A144" s="184"/>
      <c r="B144" s="184"/>
      <c r="C144" s="184"/>
      <c r="D144" s="184"/>
      <c r="E144" s="184"/>
      <c r="F144" s="184"/>
      <c r="G144" s="184"/>
      <c r="H144" s="184"/>
      <c r="Y144" s="184"/>
      <c r="Z144" s="184"/>
      <c r="AA144" s="184"/>
      <c r="AB144" s="184"/>
      <c r="AC144" s="184"/>
      <c r="AD144" s="184"/>
    </row>
    <row r="145" spans="1:30" x14ac:dyDescent="0.25">
      <c r="A145" s="184"/>
      <c r="B145" s="184"/>
      <c r="C145" s="184"/>
      <c r="D145" s="184"/>
      <c r="E145" s="184"/>
      <c r="F145" s="184"/>
      <c r="G145" s="184"/>
      <c r="H145" s="184"/>
      <c r="Y145" s="184"/>
      <c r="Z145" s="184"/>
      <c r="AA145" s="184"/>
      <c r="AB145" s="184"/>
      <c r="AC145" s="184"/>
      <c r="AD145" s="184"/>
    </row>
    <row r="146" spans="1:30" x14ac:dyDescent="0.25">
      <c r="A146" s="184"/>
      <c r="B146" s="184"/>
      <c r="C146" s="184"/>
      <c r="D146" s="184"/>
      <c r="E146" s="184"/>
      <c r="F146" s="184"/>
      <c r="G146" s="184"/>
      <c r="H146" s="184"/>
      <c r="Y146" s="184"/>
      <c r="Z146" s="184"/>
      <c r="AA146" s="184"/>
      <c r="AB146" s="184"/>
      <c r="AC146" s="184"/>
      <c r="AD146" s="184"/>
    </row>
    <row r="147" spans="1:30" x14ac:dyDescent="0.25">
      <c r="A147" s="184"/>
      <c r="B147" s="184"/>
      <c r="C147" s="184"/>
      <c r="D147" s="184"/>
      <c r="E147" s="184"/>
      <c r="F147" s="184"/>
      <c r="G147" s="184"/>
      <c r="H147" s="184"/>
      <c r="Y147" s="184"/>
      <c r="Z147" s="184"/>
      <c r="AA147" s="184"/>
      <c r="AB147" s="184"/>
      <c r="AC147" s="184"/>
      <c r="AD147" s="184"/>
    </row>
    <row r="148" spans="1:30" x14ac:dyDescent="0.25">
      <c r="A148" s="184"/>
      <c r="B148" s="184"/>
      <c r="C148" s="184"/>
      <c r="D148" s="184"/>
      <c r="E148" s="184"/>
      <c r="F148" s="184"/>
      <c r="G148" s="184"/>
      <c r="H148" s="184"/>
      <c r="Y148" s="184"/>
      <c r="Z148" s="184"/>
      <c r="AA148" s="184"/>
      <c r="AB148" s="184"/>
      <c r="AC148" s="184"/>
      <c r="AD148" s="184"/>
    </row>
    <row r="149" spans="1:30" x14ac:dyDescent="0.25">
      <c r="A149" s="184"/>
      <c r="B149" s="184"/>
      <c r="C149" s="184"/>
      <c r="D149" s="184"/>
      <c r="E149" s="184"/>
      <c r="F149" s="184"/>
      <c r="G149" s="184"/>
      <c r="H149" s="184"/>
      <c r="Y149" s="184"/>
      <c r="Z149" s="184"/>
      <c r="AA149" s="184"/>
      <c r="AB149" s="184"/>
      <c r="AC149" s="184"/>
      <c r="AD149" s="184"/>
    </row>
    <row r="150" spans="1:30" x14ac:dyDescent="0.25">
      <c r="A150" s="184"/>
      <c r="B150" s="184"/>
      <c r="C150" s="184"/>
      <c r="D150" s="184"/>
      <c r="E150" s="184"/>
      <c r="F150" s="184"/>
      <c r="G150" s="184"/>
      <c r="H150" s="184"/>
      <c r="Y150" s="184"/>
      <c r="Z150" s="184"/>
      <c r="AA150" s="184"/>
      <c r="AB150" s="184"/>
      <c r="AC150" s="184"/>
      <c r="AD150" s="184"/>
    </row>
    <row r="151" spans="1:30" x14ac:dyDescent="0.25">
      <c r="A151" s="184"/>
      <c r="B151" s="184"/>
      <c r="C151" s="184"/>
      <c r="D151" s="184"/>
      <c r="E151" s="184"/>
      <c r="F151" s="184"/>
      <c r="G151" s="184"/>
      <c r="H151" s="184"/>
      <c r="Y151" s="184"/>
      <c r="Z151" s="184"/>
      <c r="AA151" s="184"/>
      <c r="AB151" s="184"/>
      <c r="AC151" s="184"/>
      <c r="AD151" s="184"/>
    </row>
    <row r="152" spans="1:30" x14ac:dyDescent="0.25">
      <c r="A152" s="184"/>
      <c r="B152" s="184"/>
      <c r="C152" s="184"/>
      <c r="D152" s="184"/>
      <c r="E152" s="184"/>
      <c r="F152" s="184"/>
      <c r="G152" s="184"/>
      <c r="H152" s="184"/>
      <c r="Y152" s="184"/>
      <c r="Z152" s="184"/>
      <c r="AA152" s="184"/>
      <c r="AB152" s="184"/>
      <c r="AC152" s="184"/>
      <c r="AD152" s="184"/>
    </row>
    <row r="153" spans="1:30" x14ac:dyDescent="0.25">
      <c r="A153" s="184"/>
      <c r="B153" s="184"/>
      <c r="C153" s="184"/>
      <c r="D153" s="184"/>
      <c r="E153" s="184"/>
      <c r="F153" s="184"/>
      <c r="G153" s="184"/>
      <c r="H153" s="184"/>
      <c r="Y153" s="184"/>
      <c r="Z153" s="184"/>
      <c r="AA153" s="184"/>
      <c r="AB153" s="184"/>
      <c r="AC153" s="184"/>
      <c r="AD153" s="184"/>
    </row>
    <row r="154" spans="1:30" x14ac:dyDescent="0.25">
      <c r="A154" s="184"/>
      <c r="B154" s="184"/>
      <c r="C154" s="184"/>
      <c r="D154" s="184"/>
      <c r="E154" s="184"/>
      <c r="F154" s="184"/>
      <c r="G154" s="184"/>
      <c r="H154" s="184"/>
      <c r="Y154" s="184"/>
      <c r="Z154" s="184"/>
      <c r="AA154" s="184"/>
      <c r="AB154" s="184"/>
      <c r="AC154" s="184"/>
      <c r="AD154" s="184"/>
    </row>
    <row r="155" spans="1:30" x14ac:dyDescent="0.25">
      <c r="A155" s="184"/>
      <c r="B155" s="184"/>
      <c r="C155" s="184"/>
      <c r="D155" s="184"/>
      <c r="E155" s="184"/>
      <c r="F155" s="184"/>
      <c r="G155" s="184"/>
      <c r="H155" s="184"/>
      <c r="Y155" s="184"/>
      <c r="Z155" s="184"/>
      <c r="AA155" s="184"/>
      <c r="AB155" s="184"/>
      <c r="AC155" s="184"/>
      <c r="AD155" s="184"/>
    </row>
    <row r="156" spans="1:30" x14ac:dyDescent="0.25">
      <c r="A156" s="184"/>
      <c r="B156" s="184"/>
      <c r="C156" s="184"/>
      <c r="D156" s="184"/>
      <c r="E156" s="184"/>
      <c r="F156" s="184"/>
      <c r="G156" s="184"/>
      <c r="H156" s="184"/>
      <c r="Y156" s="184"/>
      <c r="Z156" s="184"/>
      <c r="AA156" s="184"/>
      <c r="AB156" s="184"/>
      <c r="AC156" s="184"/>
      <c r="AD156" s="184"/>
    </row>
    <row r="157" spans="1:30" x14ac:dyDescent="0.25">
      <c r="A157" s="184"/>
      <c r="B157" s="184"/>
      <c r="C157" s="184"/>
      <c r="D157" s="184"/>
      <c r="E157" s="184"/>
      <c r="F157" s="184"/>
      <c r="G157" s="184"/>
      <c r="H157" s="184"/>
      <c r="Y157" s="184"/>
      <c r="Z157" s="184"/>
      <c r="AA157" s="184"/>
      <c r="AB157" s="184"/>
      <c r="AC157" s="184"/>
      <c r="AD157" s="184"/>
    </row>
    <row r="158" spans="1:30" x14ac:dyDescent="0.25">
      <c r="A158" s="184"/>
      <c r="B158" s="184"/>
      <c r="C158" s="184"/>
      <c r="D158" s="184"/>
      <c r="E158" s="184"/>
      <c r="F158" s="184"/>
      <c r="G158" s="184"/>
      <c r="H158" s="184"/>
      <c r="Y158" s="184"/>
      <c r="Z158" s="184"/>
      <c r="AA158" s="184"/>
      <c r="AB158" s="184"/>
      <c r="AC158" s="184"/>
      <c r="AD158" s="184"/>
    </row>
    <row r="159" spans="1:30" x14ac:dyDescent="0.25">
      <c r="A159" s="184"/>
      <c r="B159" s="184"/>
      <c r="C159" s="184"/>
      <c r="D159" s="184"/>
      <c r="E159" s="184"/>
      <c r="F159" s="184"/>
      <c r="G159" s="184"/>
      <c r="H159" s="184"/>
      <c r="Y159" s="184"/>
      <c r="Z159" s="184"/>
      <c r="AA159" s="184"/>
      <c r="AB159" s="184"/>
      <c r="AC159" s="184"/>
      <c r="AD159" s="184"/>
    </row>
    <row r="160" spans="1:30" x14ac:dyDescent="0.25">
      <c r="A160" s="184"/>
      <c r="B160" s="184"/>
      <c r="C160" s="184"/>
      <c r="D160" s="184"/>
      <c r="E160" s="184"/>
      <c r="F160" s="184"/>
      <c r="G160" s="184"/>
      <c r="H160" s="184"/>
      <c r="Y160" s="184"/>
      <c r="Z160" s="184"/>
      <c r="AA160" s="184"/>
      <c r="AB160" s="184"/>
      <c r="AC160" s="184"/>
      <c r="AD160" s="184"/>
    </row>
    <row r="161" spans="1:30" x14ac:dyDescent="0.25">
      <c r="A161" s="184"/>
      <c r="B161" s="184"/>
      <c r="C161" s="184"/>
      <c r="D161" s="184"/>
      <c r="E161" s="184"/>
      <c r="F161" s="184"/>
      <c r="G161" s="184"/>
      <c r="H161" s="184"/>
      <c r="Y161" s="184"/>
      <c r="Z161" s="184"/>
      <c r="AA161" s="184"/>
      <c r="AB161" s="184"/>
      <c r="AC161" s="184"/>
      <c r="AD161" s="184"/>
    </row>
    <row r="162" spans="1:30" x14ac:dyDescent="0.25">
      <c r="A162" s="184"/>
      <c r="B162" s="184"/>
      <c r="C162" s="184"/>
      <c r="D162" s="184"/>
      <c r="E162" s="184"/>
      <c r="F162" s="184"/>
      <c r="G162" s="184"/>
      <c r="H162" s="184"/>
      <c r="Y162" s="184"/>
      <c r="Z162" s="184"/>
      <c r="AA162" s="184"/>
      <c r="AB162" s="184"/>
      <c r="AC162" s="184"/>
      <c r="AD162" s="184"/>
    </row>
    <row r="163" spans="1:30" x14ac:dyDescent="0.25">
      <c r="A163" s="184"/>
      <c r="B163" s="184"/>
      <c r="C163" s="184"/>
      <c r="D163" s="184"/>
      <c r="E163" s="184"/>
      <c r="F163" s="184"/>
      <c r="G163" s="184"/>
      <c r="H163" s="184"/>
      <c r="Y163" s="184"/>
      <c r="Z163" s="184"/>
      <c r="AA163" s="184"/>
      <c r="AB163" s="184"/>
      <c r="AC163" s="184"/>
      <c r="AD163" s="184"/>
    </row>
    <row r="164" spans="1:30" x14ac:dyDescent="0.25">
      <c r="A164" s="184"/>
      <c r="B164" s="184"/>
      <c r="C164" s="184"/>
      <c r="D164" s="184"/>
      <c r="E164" s="184"/>
      <c r="F164" s="184"/>
      <c r="G164" s="184"/>
      <c r="H164" s="184"/>
      <c r="Y164" s="184"/>
      <c r="Z164" s="184"/>
      <c r="AA164" s="184"/>
      <c r="AB164" s="184"/>
      <c r="AC164" s="184"/>
      <c r="AD164" s="184"/>
    </row>
    <row r="165" spans="1:30" x14ac:dyDescent="0.25">
      <c r="A165" s="184"/>
      <c r="B165" s="184"/>
      <c r="C165" s="184"/>
      <c r="D165" s="184"/>
      <c r="E165" s="184"/>
      <c r="F165" s="184"/>
      <c r="G165" s="184"/>
      <c r="H165" s="184"/>
      <c r="Y165" s="184"/>
      <c r="Z165" s="184"/>
      <c r="AA165" s="184"/>
      <c r="AB165" s="184"/>
      <c r="AC165" s="184"/>
      <c r="AD165" s="184"/>
    </row>
    <row r="166" spans="1:30" x14ac:dyDescent="0.25">
      <c r="A166" s="184"/>
      <c r="B166" s="184"/>
      <c r="C166" s="184"/>
      <c r="D166" s="184"/>
      <c r="E166" s="184"/>
      <c r="F166" s="184"/>
      <c r="G166" s="184"/>
      <c r="H166" s="184"/>
      <c r="Y166" s="184"/>
      <c r="Z166" s="184"/>
      <c r="AA166" s="184"/>
      <c r="AB166" s="184"/>
      <c r="AC166" s="184"/>
      <c r="AD166" s="184"/>
    </row>
    <row r="167" spans="1:30" x14ac:dyDescent="0.25">
      <c r="A167" s="184"/>
      <c r="B167" s="184"/>
      <c r="C167" s="184"/>
      <c r="D167" s="184"/>
      <c r="E167" s="184"/>
      <c r="F167" s="184"/>
      <c r="G167" s="184"/>
      <c r="H167" s="184"/>
      <c r="Y167" s="184"/>
      <c r="Z167" s="184"/>
      <c r="AA167" s="184"/>
      <c r="AB167" s="184"/>
      <c r="AC167" s="184"/>
      <c r="AD167" s="184"/>
    </row>
    <row r="168" spans="1:30" x14ac:dyDescent="0.25">
      <c r="A168" s="184"/>
      <c r="B168" s="184"/>
      <c r="C168" s="184"/>
      <c r="D168" s="184"/>
      <c r="E168" s="184"/>
      <c r="F168" s="184"/>
      <c r="G168" s="184"/>
      <c r="H168" s="184"/>
      <c r="Y168" s="184"/>
      <c r="Z168" s="184"/>
      <c r="AA168" s="184"/>
      <c r="AB168" s="184"/>
      <c r="AC168" s="184"/>
      <c r="AD168" s="184"/>
    </row>
    <row r="169" spans="1:30" x14ac:dyDescent="0.25">
      <c r="A169" s="184"/>
      <c r="B169" s="184"/>
      <c r="C169" s="184"/>
      <c r="D169" s="184"/>
      <c r="E169" s="184"/>
      <c r="F169" s="184"/>
      <c r="G169" s="184"/>
      <c r="H169" s="184"/>
      <c r="Y169" s="184"/>
      <c r="Z169" s="184"/>
      <c r="AA169" s="184"/>
      <c r="AB169" s="184"/>
      <c r="AC169" s="184"/>
      <c r="AD169" s="184"/>
    </row>
    <row r="170" spans="1:30" x14ac:dyDescent="0.25">
      <c r="A170" s="184"/>
      <c r="B170" s="184"/>
      <c r="C170" s="184"/>
      <c r="D170" s="184"/>
      <c r="E170" s="184"/>
      <c r="F170" s="184"/>
      <c r="G170" s="184"/>
      <c r="H170" s="184"/>
      <c r="Y170" s="184"/>
      <c r="Z170" s="184"/>
      <c r="AA170" s="184"/>
      <c r="AB170" s="184"/>
      <c r="AC170" s="184"/>
      <c r="AD170" s="184"/>
    </row>
    <row r="171" spans="1:30" x14ac:dyDescent="0.25">
      <c r="A171" s="184"/>
      <c r="B171" s="184"/>
      <c r="C171" s="184"/>
      <c r="D171" s="184"/>
      <c r="E171" s="184"/>
      <c r="F171" s="184"/>
      <c r="G171" s="184"/>
      <c r="H171" s="184"/>
      <c r="Y171" s="184"/>
      <c r="Z171" s="184"/>
      <c r="AA171" s="184"/>
      <c r="AB171" s="184"/>
      <c r="AC171" s="184"/>
      <c r="AD171" s="184"/>
    </row>
    <row r="172" spans="1:30" x14ac:dyDescent="0.25">
      <c r="A172" s="184"/>
      <c r="B172" s="184"/>
      <c r="C172" s="184"/>
      <c r="D172" s="184"/>
      <c r="E172" s="184"/>
      <c r="F172" s="184"/>
      <c r="G172" s="184"/>
      <c r="H172" s="184"/>
      <c r="Y172" s="184"/>
      <c r="Z172" s="184"/>
      <c r="AA172" s="184"/>
      <c r="AB172" s="184"/>
      <c r="AC172" s="184"/>
      <c r="AD172" s="184"/>
    </row>
    <row r="173" spans="1:30" x14ac:dyDescent="0.25">
      <c r="A173" s="184"/>
      <c r="B173" s="184"/>
      <c r="C173" s="184"/>
      <c r="D173" s="184"/>
      <c r="E173" s="184"/>
      <c r="F173" s="184"/>
      <c r="G173" s="184"/>
      <c r="H173" s="184"/>
      <c r="Y173" s="184"/>
      <c r="Z173" s="184"/>
      <c r="AA173" s="184"/>
      <c r="AB173" s="184"/>
      <c r="AC173" s="184"/>
      <c r="AD173" s="184"/>
    </row>
    <row r="174" spans="1:30" x14ac:dyDescent="0.25">
      <c r="A174" s="184"/>
      <c r="B174" s="184"/>
      <c r="C174" s="184"/>
      <c r="D174" s="184"/>
      <c r="E174" s="184"/>
      <c r="F174" s="184"/>
      <c r="G174" s="184"/>
      <c r="H174" s="184"/>
      <c r="Y174" s="184"/>
      <c r="Z174" s="184"/>
      <c r="AA174" s="184"/>
      <c r="AB174" s="184"/>
      <c r="AC174" s="184"/>
      <c r="AD174" s="184"/>
    </row>
    <row r="175" spans="1:30" x14ac:dyDescent="0.25">
      <c r="A175" s="184"/>
      <c r="B175" s="184"/>
      <c r="C175" s="184"/>
      <c r="D175" s="184"/>
      <c r="E175" s="184"/>
      <c r="F175" s="184"/>
      <c r="G175" s="184"/>
      <c r="H175" s="184"/>
      <c r="Y175" s="184"/>
      <c r="Z175" s="184"/>
      <c r="AA175" s="184"/>
      <c r="AB175" s="184"/>
      <c r="AC175" s="184"/>
      <c r="AD175" s="184"/>
    </row>
    <row r="176" spans="1:30" x14ac:dyDescent="0.25">
      <c r="A176" s="184"/>
      <c r="B176" s="184"/>
      <c r="C176" s="184"/>
      <c r="D176" s="184"/>
      <c r="E176" s="184"/>
      <c r="F176" s="184"/>
      <c r="G176" s="184"/>
      <c r="H176" s="184"/>
      <c r="Y176" s="184"/>
      <c r="Z176" s="184"/>
      <c r="AA176" s="184"/>
      <c r="AB176" s="184"/>
      <c r="AC176" s="184"/>
      <c r="AD176" s="184"/>
    </row>
    <row r="177" spans="1:30" x14ac:dyDescent="0.25">
      <c r="A177" s="184"/>
      <c r="B177" s="184"/>
      <c r="C177" s="184"/>
      <c r="D177" s="184"/>
      <c r="E177" s="184"/>
      <c r="F177" s="184"/>
      <c r="G177" s="184"/>
      <c r="H177" s="184"/>
      <c r="Y177" s="184"/>
      <c r="Z177" s="184"/>
      <c r="AA177" s="184"/>
      <c r="AB177" s="184"/>
      <c r="AC177" s="184"/>
      <c r="AD177" s="184"/>
    </row>
    <row r="178" spans="1:30" x14ac:dyDescent="0.25">
      <c r="A178" s="184"/>
      <c r="B178" s="184"/>
      <c r="C178" s="184"/>
      <c r="D178" s="184"/>
      <c r="E178" s="184"/>
      <c r="F178" s="184"/>
      <c r="G178" s="184"/>
      <c r="H178" s="184"/>
      <c r="Y178" s="184"/>
      <c r="Z178" s="184"/>
      <c r="AA178" s="184"/>
      <c r="AB178" s="184"/>
      <c r="AC178" s="184"/>
      <c r="AD178" s="184"/>
    </row>
    <row r="179" spans="1:30" x14ac:dyDescent="0.25">
      <c r="A179" s="184"/>
      <c r="B179" s="184"/>
      <c r="C179" s="184"/>
      <c r="D179" s="184"/>
      <c r="E179" s="184"/>
      <c r="F179" s="184"/>
      <c r="G179" s="184"/>
      <c r="H179" s="184"/>
      <c r="Y179" s="184"/>
      <c r="Z179" s="184"/>
      <c r="AA179" s="184"/>
      <c r="AB179" s="184"/>
      <c r="AC179" s="184"/>
      <c r="AD179" s="184"/>
    </row>
    <row r="180" spans="1:30" x14ac:dyDescent="0.25">
      <c r="A180" s="184"/>
      <c r="B180" s="184"/>
      <c r="C180" s="184"/>
      <c r="D180" s="184"/>
      <c r="E180" s="184"/>
      <c r="F180" s="184"/>
      <c r="G180" s="184"/>
      <c r="H180" s="184"/>
      <c r="Y180" s="184"/>
      <c r="Z180" s="184"/>
      <c r="AA180" s="184"/>
      <c r="AB180" s="184"/>
      <c r="AC180" s="184"/>
      <c r="AD180" s="184"/>
    </row>
    <row r="181" spans="1:30" x14ac:dyDescent="0.25">
      <c r="A181" s="184"/>
      <c r="B181" s="184"/>
      <c r="C181" s="184"/>
      <c r="D181" s="184"/>
      <c r="E181" s="184"/>
      <c r="F181" s="184"/>
      <c r="G181" s="184"/>
      <c r="H181" s="184"/>
      <c r="Y181" s="184"/>
      <c r="Z181" s="184"/>
      <c r="AA181" s="184"/>
      <c r="AB181" s="184"/>
      <c r="AC181" s="184"/>
      <c r="AD181" s="184"/>
    </row>
    <row r="182" spans="1:30" x14ac:dyDescent="0.25">
      <c r="A182" s="184"/>
      <c r="B182" s="184"/>
      <c r="C182" s="184"/>
      <c r="D182" s="184"/>
      <c r="E182" s="184"/>
      <c r="F182" s="184"/>
      <c r="G182" s="184"/>
      <c r="H182" s="184"/>
      <c r="Y182" s="184"/>
      <c r="Z182" s="184"/>
      <c r="AA182" s="184"/>
      <c r="AB182" s="184"/>
      <c r="AC182" s="184"/>
      <c r="AD182" s="184"/>
    </row>
    <row r="183" spans="1:30" x14ac:dyDescent="0.25">
      <c r="A183" s="184"/>
      <c r="B183" s="184"/>
      <c r="C183" s="184"/>
      <c r="D183" s="184"/>
      <c r="E183" s="184"/>
      <c r="F183" s="184"/>
      <c r="G183" s="184"/>
      <c r="H183" s="184"/>
      <c r="Y183" s="184"/>
      <c r="Z183" s="184"/>
      <c r="AA183" s="184"/>
      <c r="AB183" s="184"/>
      <c r="AC183" s="184"/>
      <c r="AD183" s="184"/>
    </row>
    <row r="184" spans="1:30" x14ac:dyDescent="0.25">
      <c r="A184" s="184"/>
      <c r="B184" s="184"/>
      <c r="C184" s="184"/>
      <c r="D184" s="184"/>
      <c r="E184" s="184"/>
      <c r="F184" s="184"/>
      <c r="G184" s="184"/>
      <c r="H184" s="184"/>
      <c r="Y184" s="184"/>
      <c r="Z184" s="184"/>
      <c r="AA184" s="184"/>
      <c r="AB184" s="184"/>
      <c r="AC184" s="184"/>
      <c r="AD184" s="184"/>
    </row>
    <row r="185" spans="1:30" x14ac:dyDescent="0.25">
      <c r="A185" s="184"/>
      <c r="B185" s="184"/>
      <c r="C185" s="184"/>
      <c r="D185" s="184"/>
      <c r="E185" s="184"/>
      <c r="F185" s="184"/>
      <c r="G185" s="184"/>
      <c r="H185" s="184"/>
      <c r="Y185" s="184"/>
      <c r="Z185" s="184"/>
      <c r="AA185" s="184"/>
      <c r="AB185" s="184"/>
      <c r="AC185" s="184"/>
      <c r="AD185" s="184"/>
    </row>
    <row r="186" spans="1:30" x14ac:dyDescent="0.25">
      <c r="A186" s="184"/>
      <c r="B186" s="184"/>
      <c r="C186" s="184"/>
      <c r="D186" s="184"/>
      <c r="E186" s="184"/>
      <c r="F186" s="184"/>
      <c r="G186" s="184"/>
      <c r="H186" s="184"/>
      <c r="Y186" s="184"/>
      <c r="Z186" s="184"/>
      <c r="AA186" s="184"/>
      <c r="AB186" s="184"/>
      <c r="AC186" s="184"/>
      <c r="AD186" s="184"/>
    </row>
    <row r="187" spans="1:30" x14ac:dyDescent="0.25">
      <c r="A187" s="184"/>
      <c r="B187" s="184"/>
      <c r="C187" s="184"/>
      <c r="D187" s="184"/>
      <c r="E187" s="184"/>
      <c r="F187" s="184"/>
      <c r="G187" s="184"/>
      <c r="H187" s="184"/>
      <c r="Y187" s="184"/>
      <c r="Z187" s="184"/>
      <c r="AA187" s="184"/>
      <c r="AB187" s="184"/>
      <c r="AC187" s="184"/>
      <c r="AD187" s="184"/>
    </row>
    <row r="188" spans="1:30" x14ac:dyDescent="0.25">
      <c r="A188" s="184"/>
      <c r="B188" s="184"/>
      <c r="C188" s="184"/>
      <c r="D188" s="184"/>
      <c r="E188" s="184"/>
      <c r="F188" s="184"/>
      <c r="G188" s="184"/>
      <c r="H188" s="184"/>
      <c r="Y188" s="184"/>
      <c r="Z188" s="184"/>
      <c r="AA188" s="184"/>
      <c r="AB188" s="184"/>
      <c r="AC188" s="184"/>
      <c r="AD188" s="184"/>
    </row>
    <row r="189" spans="1:30" x14ac:dyDescent="0.25">
      <c r="A189" s="184"/>
      <c r="B189" s="184"/>
      <c r="C189" s="184"/>
      <c r="D189" s="184"/>
      <c r="E189" s="184"/>
      <c r="F189" s="184"/>
      <c r="G189" s="184"/>
      <c r="H189" s="184"/>
      <c r="Y189" s="184"/>
      <c r="Z189" s="184"/>
      <c r="AA189" s="184"/>
      <c r="AB189" s="184"/>
      <c r="AC189" s="184"/>
      <c r="AD189" s="184"/>
    </row>
    <row r="190" spans="1:30" x14ac:dyDescent="0.25">
      <c r="A190" s="184"/>
      <c r="B190" s="184"/>
      <c r="C190" s="184"/>
      <c r="D190" s="184"/>
      <c r="E190" s="184"/>
      <c r="F190" s="184"/>
      <c r="G190" s="184"/>
      <c r="H190" s="184"/>
      <c r="Y190" s="184"/>
      <c r="Z190" s="184"/>
      <c r="AA190" s="184"/>
      <c r="AB190" s="184"/>
      <c r="AC190" s="184"/>
      <c r="AD190" s="184"/>
    </row>
    <row r="191" spans="1:30" x14ac:dyDescent="0.25">
      <c r="A191" s="184"/>
      <c r="B191" s="184"/>
      <c r="C191" s="184"/>
      <c r="D191" s="184"/>
      <c r="E191" s="184"/>
      <c r="F191" s="184"/>
      <c r="G191" s="184"/>
      <c r="H191" s="184"/>
      <c r="Y191" s="184"/>
      <c r="Z191" s="184"/>
      <c r="AA191" s="184"/>
      <c r="AB191" s="184"/>
      <c r="AC191" s="184"/>
      <c r="AD191" s="184"/>
    </row>
    <row r="192" spans="1:30" x14ac:dyDescent="0.25">
      <c r="A192" s="184"/>
      <c r="B192" s="184"/>
      <c r="C192" s="184"/>
      <c r="D192" s="184"/>
      <c r="E192" s="184"/>
      <c r="F192" s="184"/>
      <c r="G192" s="184"/>
      <c r="H192" s="184"/>
      <c r="Y192" s="184"/>
      <c r="Z192" s="184"/>
      <c r="AA192" s="184"/>
      <c r="AB192" s="184"/>
      <c r="AC192" s="184"/>
      <c r="AD192" s="184"/>
    </row>
    <row r="193" spans="1:30" x14ac:dyDescent="0.25">
      <c r="A193" s="184"/>
      <c r="B193" s="184"/>
      <c r="C193" s="184"/>
      <c r="D193" s="184"/>
      <c r="E193" s="184"/>
      <c r="F193" s="184"/>
      <c r="G193" s="184"/>
      <c r="H193" s="184"/>
      <c r="Y193" s="184"/>
      <c r="Z193" s="184"/>
      <c r="AA193" s="184"/>
      <c r="AB193" s="184"/>
      <c r="AC193" s="184"/>
      <c r="AD193" s="184"/>
    </row>
    <row r="194" spans="1:30" x14ac:dyDescent="0.25">
      <c r="A194" s="184"/>
      <c r="B194" s="184"/>
      <c r="C194" s="184"/>
      <c r="D194" s="184"/>
      <c r="E194" s="184"/>
      <c r="F194" s="184"/>
      <c r="G194" s="184"/>
      <c r="H194" s="184"/>
      <c r="Y194" s="184"/>
      <c r="Z194" s="184"/>
      <c r="AA194" s="184"/>
      <c r="AB194" s="184"/>
      <c r="AC194" s="184"/>
      <c r="AD194" s="184"/>
    </row>
  </sheetData>
  <mergeCells count="1">
    <mergeCell ref="A1:E1"/>
  </mergeCells>
  <pageMargins left="0.19685039370078741" right="0.19685039370078741" top="0.59055118110236227" bottom="0.98425196850393704" header="0.23622047244094491" footer="0.51181102362204722"/>
  <pageSetup paperSize="9" scale="59" orientation="portrait" r:id="rId1"/>
  <headerFooter alignWithMargins="0"/>
  <colBreaks count="1" manualBreakCount="1">
    <brk id="13" max="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5CE4-458E-4686-88FD-663ACEEDC270}">
  <dimension ref="A1:G102"/>
  <sheetViews>
    <sheetView topLeftCell="A26" workbookViewId="0">
      <selection activeCell="G5" sqref="G5"/>
    </sheetView>
  </sheetViews>
  <sheetFormatPr defaultRowHeight="13.2" x14ac:dyDescent="0.25"/>
  <cols>
    <col min="1" max="1" width="41" customWidth="1"/>
    <col min="2" max="2" width="21.5546875" customWidth="1"/>
    <col min="3" max="3" width="22.88671875" customWidth="1"/>
    <col min="5" max="5" width="41" customWidth="1"/>
    <col min="6" max="6" width="18.88671875" customWidth="1"/>
    <col min="7" max="7" width="18.6640625" customWidth="1"/>
  </cols>
  <sheetData>
    <row r="1" spans="1:7" ht="14.4" x14ac:dyDescent="0.3">
      <c r="A1" s="830" t="s">
        <v>300</v>
      </c>
      <c r="B1" s="830"/>
      <c r="C1" s="830"/>
      <c r="D1" s="830"/>
      <c r="E1" s="830"/>
      <c r="F1" s="830"/>
      <c r="G1" s="830"/>
    </row>
    <row r="2" spans="1:7" ht="14.4" x14ac:dyDescent="0.3">
      <c r="A2" s="830" t="s">
        <v>739</v>
      </c>
      <c r="B2" s="830"/>
      <c r="C2" s="830"/>
      <c r="D2" s="830"/>
      <c r="E2" s="830"/>
      <c r="F2" s="830"/>
      <c r="G2" s="830"/>
    </row>
    <row r="3" spans="1:7" ht="14.4" x14ac:dyDescent="0.3">
      <c r="A3" s="830" t="s">
        <v>741</v>
      </c>
      <c r="B3" s="830"/>
      <c r="C3" s="830"/>
      <c r="D3" s="830"/>
      <c r="E3" s="830"/>
      <c r="F3" s="830"/>
      <c r="G3" s="830"/>
    </row>
    <row r="4" spans="1:7" ht="14.4" x14ac:dyDescent="0.3">
      <c r="A4" s="830" t="s">
        <v>740</v>
      </c>
      <c r="B4" s="830"/>
      <c r="C4" s="830"/>
      <c r="D4" s="830"/>
      <c r="E4" s="830"/>
      <c r="F4" s="830"/>
      <c r="G4" s="830"/>
    </row>
    <row r="5" spans="1:7" x14ac:dyDescent="0.25">
      <c r="G5" s="3" t="s">
        <v>207</v>
      </c>
    </row>
    <row r="6" spans="1:7" x14ac:dyDescent="0.25">
      <c r="A6" s="3" t="s">
        <v>253</v>
      </c>
      <c r="E6" s="3" t="s">
        <v>775</v>
      </c>
    </row>
    <row r="8" spans="1:7" ht="31.2" x14ac:dyDescent="0.25">
      <c r="A8" s="544" t="s">
        <v>110</v>
      </c>
      <c r="B8" s="544" t="s">
        <v>742</v>
      </c>
      <c r="C8" s="544" t="s">
        <v>743</v>
      </c>
      <c r="E8" s="544" t="s">
        <v>110</v>
      </c>
      <c r="F8" s="544" t="s">
        <v>742</v>
      </c>
      <c r="G8" s="544" t="s">
        <v>743</v>
      </c>
    </row>
    <row r="9" spans="1:7" ht="27.6" x14ac:dyDescent="0.25">
      <c r="A9" s="540" t="s">
        <v>744</v>
      </c>
      <c r="B9" s="541">
        <v>748736038</v>
      </c>
      <c r="C9" s="541">
        <v>754523912</v>
      </c>
      <c r="E9" s="545" t="s">
        <v>745</v>
      </c>
      <c r="F9" s="546">
        <v>2936056</v>
      </c>
      <c r="G9" s="546">
        <v>2494270</v>
      </c>
    </row>
    <row r="10" spans="1:7" ht="27.6" x14ac:dyDescent="0.25">
      <c r="A10" s="540" t="s">
        <v>745</v>
      </c>
      <c r="B10" s="541">
        <v>1391831</v>
      </c>
      <c r="C10" s="541">
        <v>831391</v>
      </c>
      <c r="E10" s="547" t="s">
        <v>747</v>
      </c>
      <c r="F10" s="548">
        <v>2936056</v>
      </c>
      <c r="G10" s="548">
        <v>2494270</v>
      </c>
    </row>
    <row r="11" spans="1:7" ht="27.6" x14ac:dyDescent="0.25">
      <c r="A11" s="540" t="s">
        <v>746</v>
      </c>
      <c r="B11" s="541">
        <v>12711199</v>
      </c>
      <c r="C11" s="541">
        <v>14574199</v>
      </c>
      <c r="E11" s="547" t="s">
        <v>748</v>
      </c>
      <c r="F11" s="548">
        <v>2936056</v>
      </c>
      <c r="G11" s="548">
        <v>2494270</v>
      </c>
    </row>
    <row r="12" spans="1:7" ht="13.8" x14ac:dyDescent="0.25">
      <c r="A12" s="542" t="s">
        <v>747</v>
      </c>
      <c r="B12" s="543">
        <v>762839068</v>
      </c>
      <c r="C12" s="543">
        <v>769929502</v>
      </c>
      <c r="E12" s="545" t="s">
        <v>776</v>
      </c>
      <c r="F12" s="546">
        <v>178070</v>
      </c>
      <c r="G12" s="546">
        <v>152570</v>
      </c>
    </row>
    <row r="13" spans="1:7" ht="27.6" x14ac:dyDescent="0.25">
      <c r="A13" s="542" t="s">
        <v>748</v>
      </c>
      <c r="B13" s="543">
        <v>762839068</v>
      </c>
      <c r="C13" s="543">
        <v>769929502</v>
      </c>
      <c r="E13" s="547" t="s">
        <v>777</v>
      </c>
      <c r="F13" s="548">
        <v>178070</v>
      </c>
      <c r="G13" s="548">
        <v>152570</v>
      </c>
    </row>
    <row r="14" spans="1:7" ht="13.8" x14ac:dyDescent="0.25">
      <c r="A14" s="540" t="s">
        <v>749</v>
      </c>
      <c r="B14" s="541">
        <v>261960269</v>
      </c>
      <c r="C14" s="541">
        <v>377820782</v>
      </c>
      <c r="E14" s="545" t="s">
        <v>749</v>
      </c>
      <c r="F14" s="546">
        <v>9205617</v>
      </c>
      <c r="G14" s="546">
        <v>9558804</v>
      </c>
    </row>
    <row r="15" spans="1:7" ht="13.8" x14ac:dyDescent="0.25">
      <c r="A15" s="540" t="s">
        <v>750</v>
      </c>
      <c r="B15" s="541">
        <v>8380185</v>
      </c>
      <c r="C15" s="541">
        <v>8380185</v>
      </c>
      <c r="E15" s="547" t="s">
        <v>751</v>
      </c>
      <c r="F15" s="548">
        <v>9205617</v>
      </c>
      <c r="G15" s="548">
        <v>9558804</v>
      </c>
    </row>
    <row r="16" spans="1:7" ht="13.8" x14ac:dyDescent="0.25">
      <c r="A16" s="542" t="s">
        <v>751</v>
      </c>
      <c r="B16" s="543">
        <v>270340454</v>
      </c>
      <c r="C16" s="543">
        <v>386200967</v>
      </c>
      <c r="E16" s="547" t="s">
        <v>752</v>
      </c>
      <c r="F16" s="548">
        <v>9383687</v>
      </c>
      <c r="G16" s="548">
        <v>9711374</v>
      </c>
    </row>
    <row r="17" spans="1:7" ht="27.6" x14ac:dyDescent="0.25">
      <c r="A17" s="542" t="s">
        <v>752</v>
      </c>
      <c r="B17" s="543">
        <v>270340454</v>
      </c>
      <c r="C17" s="543">
        <v>386200967</v>
      </c>
      <c r="E17" s="545" t="s">
        <v>778</v>
      </c>
      <c r="F17" s="546">
        <v>87714</v>
      </c>
      <c r="G17" s="546">
        <v>255004</v>
      </c>
    </row>
    <row r="18" spans="1:7" ht="27.6" x14ac:dyDescent="0.25">
      <c r="A18" s="540" t="s">
        <v>753</v>
      </c>
      <c r="B18" s="541">
        <v>7984</v>
      </c>
      <c r="C18" s="541">
        <v>5940</v>
      </c>
      <c r="E18" s="545" t="s">
        <v>779</v>
      </c>
      <c r="F18" s="546">
        <v>87714</v>
      </c>
      <c r="G18" s="546">
        <v>255004</v>
      </c>
    </row>
    <row r="19" spans="1:7" ht="27.6" x14ac:dyDescent="0.25">
      <c r="A19" s="542" t="s">
        <v>754</v>
      </c>
      <c r="B19" s="543">
        <v>7984</v>
      </c>
      <c r="C19" s="543">
        <v>5940</v>
      </c>
      <c r="E19" s="547" t="s">
        <v>780</v>
      </c>
      <c r="F19" s="548">
        <v>87714</v>
      </c>
      <c r="G19" s="548">
        <v>255004</v>
      </c>
    </row>
    <row r="20" spans="1:7" ht="13.8" x14ac:dyDescent="0.25">
      <c r="A20" s="540" t="s">
        <v>755</v>
      </c>
      <c r="B20" s="541">
        <v>-7984</v>
      </c>
      <c r="C20" s="541">
        <v>-5940</v>
      </c>
      <c r="E20" s="545" t="s">
        <v>781</v>
      </c>
      <c r="F20" s="546">
        <v>2237430</v>
      </c>
      <c r="G20" s="546">
        <v>2599917</v>
      </c>
    </row>
    <row r="21" spans="1:7" ht="27.6" x14ac:dyDescent="0.25">
      <c r="A21" s="542" t="s">
        <v>756</v>
      </c>
      <c r="B21" s="543">
        <v>-7984</v>
      </c>
      <c r="C21" s="543">
        <v>-5940</v>
      </c>
      <c r="E21" s="545" t="s">
        <v>782</v>
      </c>
      <c r="F21" s="546">
        <v>2237430</v>
      </c>
      <c r="G21" s="546">
        <v>2599917</v>
      </c>
    </row>
    <row r="22" spans="1:7" ht="27.6" x14ac:dyDescent="0.25">
      <c r="A22" s="540" t="s">
        <v>757</v>
      </c>
      <c r="B22" s="541">
        <v>48000</v>
      </c>
      <c r="C22" s="541">
        <v>0</v>
      </c>
      <c r="E22" s="547" t="s">
        <v>783</v>
      </c>
      <c r="F22" s="548">
        <v>2237430</v>
      </c>
      <c r="G22" s="548">
        <v>2599917</v>
      </c>
    </row>
    <row r="23" spans="1:7" ht="27.6" x14ac:dyDescent="0.25">
      <c r="A23" s="540" t="s">
        <v>758</v>
      </c>
      <c r="B23" s="541">
        <v>24430</v>
      </c>
      <c r="C23" s="541">
        <v>70089</v>
      </c>
      <c r="E23" s="547" t="s">
        <v>784</v>
      </c>
      <c r="F23" s="548">
        <v>2325144</v>
      </c>
      <c r="G23" s="548">
        <v>2854921</v>
      </c>
    </row>
    <row r="24" spans="1:7" ht="27.6" x14ac:dyDescent="0.25">
      <c r="A24" s="542" t="s">
        <v>759</v>
      </c>
      <c r="B24" s="543">
        <v>72430</v>
      </c>
      <c r="C24" s="543">
        <v>70089</v>
      </c>
      <c r="E24" s="550" t="s">
        <v>760</v>
      </c>
      <c r="F24" s="551">
        <v>14644887</v>
      </c>
      <c r="G24" s="551">
        <v>15060565</v>
      </c>
    </row>
    <row r="25" spans="1:7" ht="13.8" x14ac:dyDescent="0.25">
      <c r="A25" s="552" t="s">
        <v>760</v>
      </c>
      <c r="B25" s="553">
        <v>1033251952</v>
      </c>
      <c r="C25" s="553">
        <v>1156200558</v>
      </c>
      <c r="E25" s="545" t="s">
        <v>761</v>
      </c>
      <c r="F25" s="546">
        <v>41574995</v>
      </c>
      <c r="G25" s="546">
        <v>41574995</v>
      </c>
    </row>
    <row r="26" spans="1:7" ht="27.6" x14ac:dyDescent="0.25">
      <c r="A26" s="540" t="s">
        <v>761</v>
      </c>
      <c r="B26" s="541">
        <v>26710585</v>
      </c>
      <c r="C26" s="541">
        <v>26710585</v>
      </c>
      <c r="E26" s="545" t="s">
        <v>763</v>
      </c>
      <c r="F26" s="546">
        <v>2105723</v>
      </c>
      <c r="G26" s="546">
        <v>2105723</v>
      </c>
    </row>
    <row r="27" spans="1:7" ht="13.8" x14ac:dyDescent="0.25">
      <c r="A27" s="540" t="s">
        <v>762</v>
      </c>
      <c r="B27" s="541">
        <v>483948754</v>
      </c>
      <c r="C27" s="541">
        <v>483948754</v>
      </c>
      <c r="E27" s="545" t="s">
        <v>764</v>
      </c>
      <c r="F27" s="546">
        <v>-56510626</v>
      </c>
      <c r="G27" s="546">
        <v>-55927176</v>
      </c>
    </row>
    <row r="28" spans="1:7" ht="27.6" x14ac:dyDescent="0.25">
      <c r="A28" s="540" t="s">
        <v>763</v>
      </c>
      <c r="B28" s="541">
        <v>23290613</v>
      </c>
      <c r="C28" s="541">
        <v>23290613</v>
      </c>
      <c r="E28" s="545" t="s">
        <v>765</v>
      </c>
      <c r="F28" s="546">
        <v>583450</v>
      </c>
      <c r="G28" s="546">
        <v>-5369413</v>
      </c>
    </row>
    <row r="29" spans="1:7" ht="13.8" x14ac:dyDescent="0.25">
      <c r="A29" s="540" t="s">
        <v>764</v>
      </c>
      <c r="B29" s="541">
        <v>141196913</v>
      </c>
      <c r="C29" s="541">
        <v>239969513</v>
      </c>
      <c r="E29" s="547" t="s">
        <v>766</v>
      </c>
      <c r="F29" s="548">
        <v>-12246458</v>
      </c>
      <c r="G29" s="548">
        <v>-17615871</v>
      </c>
    </row>
    <row r="30" spans="1:7" ht="27.6" x14ac:dyDescent="0.25">
      <c r="A30" s="540" t="s">
        <v>765</v>
      </c>
      <c r="B30" s="541">
        <v>98772600</v>
      </c>
      <c r="C30" s="541">
        <v>103814380</v>
      </c>
      <c r="E30" s="545" t="s">
        <v>768</v>
      </c>
      <c r="F30" s="546">
        <v>398065</v>
      </c>
      <c r="G30" s="546">
        <v>1017961</v>
      </c>
    </row>
    <row r="31" spans="1:7" ht="27.6" x14ac:dyDescent="0.25">
      <c r="A31" s="542" t="s">
        <v>766</v>
      </c>
      <c r="B31" s="543">
        <v>773919465</v>
      </c>
      <c r="C31" s="543">
        <v>877733845</v>
      </c>
      <c r="E31" s="547" t="s">
        <v>769</v>
      </c>
      <c r="F31" s="548">
        <v>398065</v>
      </c>
      <c r="G31" s="548">
        <v>1017961</v>
      </c>
    </row>
    <row r="32" spans="1:7" ht="27.6" x14ac:dyDescent="0.25">
      <c r="A32" s="540" t="s">
        <v>767</v>
      </c>
      <c r="B32" s="541">
        <v>13760</v>
      </c>
      <c r="C32" s="541">
        <v>0</v>
      </c>
      <c r="E32" s="545" t="s">
        <v>785</v>
      </c>
      <c r="F32" s="546">
        <v>178070</v>
      </c>
      <c r="G32" s="546">
        <v>152570</v>
      </c>
    </row>
    <row r="33" spans="1:7" ht="27.6" x14ac:dyDescent="0.25">
      <c r="A33" s="540" t="s">
        <v>768</v>
      </c>
      <c r="B33" s="541">
        <v>3715</v>
      </c>
      <c r="C33" s="541">
        <v>0</v>
      </c>
      <c r="E33" s="547" t="s">
        <v>786</v>
      </c>
      <c r="F33" s="548">
        <v>178070</v>
      </c>
      <c r="G33" s="548">
        <v>152570</v>
      </c>
    </row>
    <row r="34" spans="1:7" ht="27.6" x14ac:dyDescent="0.25">
      <c r="A34" s="542" t="s">
        <v>769</v>
      </c>
      <c r="B34" s="543">
        <v>17475</v>
      </c>
      <c r="C34" s="543">
        <v>0</v>
      </c>
      <c r="E34" s="547" t="s">
        <v>770</v>
      </c>
      <c r="F34" s="548">
        <v>576135</v>
      </c>
      <c r="G34" s="548">
        <v>1170531</v>
      </c>
    </row>
    <row r="35" spans="1:7" ht="27.6" x14ac:dyDescent="0.25">
      <c r="A35" s="542" t="s">
        <v>770</v>
      </c>
      <c r="B35" s="543">
        <v>17475</v>
      </c>
      <c r="C35" s="543">
        <v>0</v>
      </c>
      <c r="E35" s="545" t="s">
        <v>771</v>
      </c>
      <c r="F35" s="546">
        <v>26315210</v>
      </c>
      <c r="G35" s="546">
        <v>31505905</v>
      </c>
    </row>
    <row r="36" spans="1:7" ht="27.6" x14ac:dyDescent="0.25">
      <c r="A36" s="540" t="s">
        <v>771</v>
      </c>
      <c r="B36" s="541">
        <v>137450</v>
      </c>
      <c r="C36" s="541">
        <v>143683</v>
      </c>
      <c r="E36" s="547" t="s">
        <v>773</v>
      </c>
      <c r="F36" s="548">
        <v>26315210</v>
      </c>
      <c r="G36" s="548">
        <v>31505905</v>
      </c>
    </row>
    <row r="37" spans="1:7" ht="13.8" x14ac:dyDescent="0.25">
      <c r="A37" s="540" t="s">
        <v>772</v>
      </c>
      <c r="B37" s="541">
        <v>259177562</v>
      </c>
      <c r="C37" s="541">
        <v>278323030</v>
      </c>
      <c r="E37" s="550" t="s">
        <v>774</v>
      </c>
      <c r="F37" s="551">
        <v>14644887</v>
      </c>
      <c r="G37" s="551">
        <v>15060565</v>
      </c>
    </row>
    <row r="38" spans="1:7" ht="27.6" x14ac:dyDescent="0.25">
      <c r="A38" s="542" t="s">
        <v>773</v>
      </c>
      <c r="B38" s="543">
        <v>259315012</v>
      </c>
      <c r="C38" s="543">
        <v>278466713</v>
      </c>
    </row>
    <row r="39" spans="1:7" ht="13.8" x14ac:dyDescent="0.25">
      <c r="A39" s="552" t="s">
        <v>774</v>
      </c>
      <c r="B39" s="553">
        <v>1033251952</v>
      </c>
      <c r="C39" s="553">
        <v>1156200558</v>
      </c>
    </row>
    <row r="42" spans="1:7" x14ac:dyDescent="0.25">
      <c r="A42" s="549" t="s">
        <v>247</v>
      </c>
      <c r="E42" s="83" t="s">
        <v>801</v>
      </c>
    </row>
    <row r="44" spans="1:7" ht="31.2" x14ac:dyDescent="0.25">
      <c r="A44" s="544" t="s">
        <v>110</v>
      </c>
      <c r="B44" s="544" t="s">
        <v>742</v>
      </c>
      <c r="C44" s="544" t="s">
        <v>743</v>
      </c>
      <c r="E44" s="544" t="s">
        <v>110</v>
      </c>
      <c r="F44" s="544" t="s">
        <v>742</v>
      </c>
      <c r="G44" s="544" t="s">
        <v>743</v>
      </c>
    </row>
    <row r="45" spans="1:7" ht="13.8" x14ac:dyDescent="0.25">
      <c r="A45" s="545" t="s">
        <v>787</v>
      </c>
      <c r="B45" s="546">
        <v>0</v>
      </c>
      <c r="C45" s="546">
        <v>1396901</v>
      </c>
      <c r="E45" s="545" t="s">
        <v>787</v>
      </c>
      <c r="F45" s="546">
        <v>0</v>
      </c>
      <c r="G45" s="546">
        <v>1396901</v>
      </c>
    </row>
    <row r="46" spans="1:7" ht="13.8" x14ac:dyDescent="0.25">
      <c r="A46" s="547" t="s">
        <v>788</v>
      </c>
      <c r="B46" s="548">
        <v>0</v>
      </c>
      <c r="C46" s="548">
        <v>1396901</v>
      </c>
      <c r="E46" s="547" t="s">
        <v>788</v>
      </c>
      <c r="F46" s="548">
        <v>0</v>
      </c>
      <c r="G46" s="548">
        <v>1396901</v>
      </c>
    </row>
    <row r="47" spans="1:7" ht="27.6" x14ac:dyDescent="0.25">
      <c r="A47" s="545" t="s">
        <v>744</v>
      </c>
      <c r="B47" s="546">
        <v>214200</v>
      </c>
      <c r="C47" s="546">
        <v>214200</v>
      </c>
      <c r="E47" s="545" t="s">
        <v>744</v>
      </c>
      <c r="F47" s="546">
        <v>748950238</v>
      </c>
      <c r="G47" s="546">
        <v>754738112</v>
      </c>
    </row>
    <row r="48" spans="1:7" ht="27.6" x14ac:dyDescent="0.25">
      <c r="A48" s="545" t="s">
        <v>745</v>
      </c>
      <c r="B48" s="546">
        <v>6701811</v>
      </c>
      <c r="C48" s="546">
        <v>11688104</v>
      </c>
      <c r="E48" s="545" t="s">
        <v>745</v>
      </c>
      <c r="F48" s="546">
        <v>11029698</v>
      </c>
      <c r="G48" s="546">
        <v>15013765</v>
      </c>
    </row>
    <row r="49" spans="1:7" ht="13.8" x14ac:dyDescent="0.25">
      <c r="A49" s="547" t="s">
        <v>747</v>
      </c>
      <c r="B49" s="548">
        <v>6916011</v>
      </c>
      <c r="C49" s="548">
        <v>11902304</v>
      </c>
      <c r="E49" s="545" t="s">
        <v>746</v>
      </c>
      <c r="F49" s="546">
        <v>12711199</v>
      </c>
      <c r="G49" s="546">
        <v>14574199</v>
      </c>
    </row>
    <row r="50" spans="1:7" ht="27.6" x14ac:dyDescent="0.25">
      <c r="A50" s="547" t="s">
        <v>748</v>
      </c>
      <c r="B50" s="548">
        <v>6916011</v>
      </c>
      <c r="C50" s="548">
        <v>13299205</v>
      </c>
      <c r="E50" s="547" t="s">
        <v>747</v>
      </c>
      <c r="F50" s="548">
        <v>772691135</v>
      </c>
      <c r="G50" s="548">
        <v>784326076</v>
      </c>
    </row>
    <row r="51" spans="1:7" ht="27.6" x14ac:dyDescent="0.25">
      <c r="A51" s="545" t="s">
        <v>789</v>
      </c>
      <c r="B51" s="546">
        <v>4603483</v>
      </c>
      <c r="C51" s="546">
        <v>5586493</v>
      </c>
      <c r="E51" s="547" t="s">
        <v>748</v>
      </c>
      <c r="F51" s="548">
        <v>772691135</v>
      </c>
      <c r="G51" s="548">
        <v>785722977</v>
      </c>
    </row>
    <row r="52" spans="1:7" ht="13.8" x14ac:dyDescent="0.25">
      <c r="A52" s="547" t="s">
        <v>790</v>
      </c>
      <c r="B52" s="548">
        <v>4603483</v>
      </c>
      <c r="C52" s="548">
        <v>5586493</v>
      </c>
      <c r="E52" s="545" t="s">
        <v>789</v>
      </c>
      <c r="F52" s="546">
        <v>4603483</v>
      </c>
      <c r="G52" s="546">
        <v>5586493</v>
      </c>
    </row>
    <row r="53" spans="1:7" ht="27.6" x14ac:dyDescent="0.25">
      <c r="A53" s="547" t="s">
        <v>791</v>
      </c>
      <c r="B53" s="548">
        <v>4603483</v>
      </c>
      <c r="C53" s="548">
        <v>5586493</v>
      </c>
      <c r="E53" s="547" t="s">
        <v>790</v>
      </c>
      <c r="F53" s="548">
        <v>4603483</v>
      </c>
      <c r="G53" s="548">
        <v>5586493</v>
      </c>
    </row>
    <row r="54" spans="1:7" ht="27.6" x14ac:dyDescent="0.25">
      <c r="A54" s="545" t="s">
        <v>776</v>
      </c>
      <c r="B54" s="546">
        <v>1740025</v>
      </c>
      <c r="C54" s="546">
        <v>1812770</v>
      </c>
      <c r="E54" s="547" t="s">
        <v>791</v>
      </c>
      <c r="F54" s="548">
        <v>4603483</v>
      </c>
      <c r="G54" s="548">
        <v>5586493</v>
      </c>
    </row>
    <row r="55" spans="1:7" ht="27.6" x14ac:dyDescent="0.25">
      <c r="A55" s="545" t="s">
        <v>792</v>
      </c>
      <c r="B55" s="546">
        <v>119971</v>
      </c>
      <c r="C55" s="546">
        <v>119971</v>
      </c>
      <c r="E55" s="545" t="s">
        <v>776</v>
      </c>
      <c r="F55" s="546">
        <v>1918095</v>
      </c>
      <c r="G55" s="546">
        <v>1965340</v>
      </c>
    </row>
    <row r="56" spans="1:7" ht="27.6" x14ac:dyDescent="0.25">
      <c r="A56" s="547" t="s">
        <v>777</v>
      </c>
      <c r="B56" s="548">
        <v>1859996</v>
      </c>
      <c r="C56" s="548">
        <v>1932741</v>
      </c>
      <c r="E56" s="545" t="s">
        <v>792</v>
      </c>
      <c r="F56" s="546">
        <v>119971</v>
      </c>
      <c r="G56" s="546">
        <v>119971</v>
      </c>
    </row>
    <row r="57" spans="1:7" ht="27.6" x14ac:dyDescent="0.25">
      <c r="A57" s="545" t="s">
        <v>749</v>
      </c>
      <c r="B57" s="546">
        <v>75275614</v>
      </c>
      <c r="C57" s="546">
        <v>98972348</v>
      </c>
      <c r="E57" s="547" t="s">
        <v>777</v>
      </c>
      <c r="F57" s="548">
        <v>2038066</v>
      </c>
      <c r="G57" s="548">
        <v>2085311</v>
      </c>
    </row>
    <row r="58" spans="1:7" ht="13.8" x14ac:dyDescent="0.25">
      <c r="A58" s="547" t="s">
        <v>751</v>
      </c>
      <c r="B58" s="548">
        <v>75275614</v>
      </c>
      <c r="C58" s="548">
        <v>98972348</v>
      </c>
      <c r="E58" s="545" t="s">
        <v>749</v>
      </c>
      <c r="F58" s="546">
        <v>346441500</v>
      </c>
      <c r="G58" s="546">
        <v>486351934</v>
      </c>
    </row>
    <row r="59" spans="1:7" ht="13.8" x14ac:dyDescent="0.25">
      <c r="A59" s="547" t="s">
        <v>752</v>
      </c>
      <c r="B59" s="548">
        <v>77135610</v>
      </c>
      <c r="C59" s="548">
        <v>100905089</v>
      </c>
      <c r="E59" s="545" t="s">
        <v>750</v>
      </c>
      <c r="F59" s="546">
        <v>8380185</v>
      </c>
      <c r="G59" s="546">
        <v>8380185</v>
      </c>
    </row>
    <row r="60" spans="1:7" ht="27.6" x14ac:dyDescent="0.25">
      <c r="A60" s="545" t="s">
        <v>778</v>
      </c>
      <c r="B60" s="546">
        <v>9178087</v>
      </c>
      <c r="C60" s="546">
        <v>6731667</v>
      </c>
      <c r="E60" s="547" t="s">
        <v>751</v>
      </c>
      <c r="F60" s="548">
        <v>354821685</v>
      </c>
      <c r="G60" s="548">
        <v>494732119</v>
      </c>
    </row>
    <row r="61" spans="1:7" ht="55.2" x14ac:dyDescent="0.25">
      <c r="A61" s="545" t="s">
        <v>793</v>
      </c>
      <c r="B61" s="546">
        <v>0</v>
      </c>
      <c r="C61" s="546">
        <v>5118</v>
      </c>
      <c r="E61" s="547" t="s">
        <v>752</v>
      </c>
      <c r="F61" s="548">
        <v>356859751</v>
      </c>
      <c r="G61" s="548">
        <v>496817430</v>
      </c>
    </row>
    <row r="62" spans="1:7" ht="27.6" x14ac:dyDescent="0.25">
      <c r="A62" s="545" t="s">
        <v>779</v>
      </c>
      <c r="B62" s="546">
        <v>9008741</v>
      </c>
      <c r="C62" s="546">
        <v>6556023</v>
      </c>
      <c r="E62" s="545" t="s">
        <v>778</v>
      </c>
      <c r="F62" s="546">
        <v>9265801</v>
      </c>
      <c r="G62" s="546">
        <v>6986671</v>
      </c>
    </row>
    <row r="63" spans="1:7" ht="55.2" x14ac:dyDescent="0.25">
      <c r="A63" s="545" t="s">
        <v>794</v>
      </c>
      <c r="B63" s="546">
        <v>202</v>
      </c>
      <c r="C63" s="546">
        <v>1382</v>
      </c>
      <c r="E63" s="545" t="s">
        <v>793</v>
      </c>
      <c r="F63" s="546">
        <v>0</v>
      </c>
      <c r="G63" s="546">
        <v>5118</v>
      </c>
    </row>
    <row r="64" spans="1:7" ht="27.6" x14ac:dyDescent="0.25">
      <c r="A64" s="545" t="s">
        <v>795</v>
      </c>
      <c r="B64" s="546">
        <v>169144</v>
      </c>
      <c r="C64" s="546">
        <v>169144</v>
      </c>
      <c r="E64" s="545" t="s">
        <v>779</v>
      </c>
      <c r="F64" s="546">
        <v>9096455</v>
      </c>
      <c r="G64" s="546">
        <v>6811027</v>
      </c>
    </row>
    <row r="65" spans="1:7" ht="27.6" x14ac:dyDescent="0.25">
      <c r="A65" s="547" t="s">
        <v>780</v>
      </c>
      <c r="B65" s="548">
        <v>9178087</v>
      </c>
      <c r="C65" s="548">
        <v>6731667</v>
      </c>
      <c r="E65" s="545" t="s">
        <v>794</v>
      </c>
      <c r="F65" s="546">
        <v>202</v>
      </c>
      <c r="G65" s="546">
        <v>1382</v>
      </c>
    </row>
    <row r="66" spans="1:7" ht="27.6" x14ac:dyDescent="0.25">
      <c r="A66" s="545" t="s">
        <v>781</v>
      </c>
      <c r="B66" s="546">
        <v>256504</v>
      </c>
      <c r="C66" s="546">
        <v>609999</v>
      </c>
      <c r="E66" s="545" t="s">
        <v>795</v>
      </c>
      <c r="F66" s="546">
        <v>169144</v>
      </c>
      <c r="G66" s="546">
        <v>169144</v>
      </c>
    </row>
    <row r="67" spans="1:7" ht="27.6" x14ac:dyDescent="0.25">
      <c r="A67" s="545" t="s">
        <v>796</v>
      </c>
      <c r="B67" s="546">
        <v>0</v>
      </c>
      <c r="C67" s="546">
        <v>36048</v>
      </c>
      <c r="E67" s="547" t="s">
        <v>780</v>
      </c>
      <c r="F67" s="548">
        <v>9265801</v>
      </c>
      <c r="G67" s="548">
        <v>6986671</v>
      </c>
    </row>
    <row r="68" spans="1:7" ht="27.6" x14ac:dyDescent="0.25">
      <c r="A68" s="545" t="s">
        <v>782</v>
      </c>
      <c r="B68" s="546">
        <v>256504</v>
      </c>
      <c r="C68" s="546">
        <v>573951</v>
      </c>
      <c r="E68" s="545" t="s">
        <v>781</v>
      </c>
      <c r="F68" s="546">
        <v>2493934</v>
      </c>
      <c r="G68" s="546">
        <v>3209916</v>
      </c>
    </row>
    <row r="69" spans="1:7" ht="27.6" x14ac:dyDescent="0.25">
      <c r="A69" s="547" t="s">
        <v>783</v>
      </c>
      <c r="B69" s="548">
        <v>256504</v>
      </c>
      <c r="C69" s="548">
        <v>609999</v>
      </c>
      <c r="E69" s="545" t="s">
        <v>796</v>
      </c>
      <c r="F69" s="546">
        <v>0</v>
      </c>
      <c r="G69" s="546">
        <v>36048</v>
      </c>
    </row>
    <row r="70" spans="1:7" ht="27.6" x14ac:dyDescent="0.25">
      <c r="A70" s="547" t="s">
        <v>784</v>
      </c>
      <c r="B70" s="548">
        <v>9434591</v>
      </c>
      <c r="C70" s="548">
        <v>7341666</v>
      </c>
      <c r="E70" s="545" t="s">
        <v>782</v>
      </c>
      <c r="F70" s="546">
        <v>2493934</v>
      </c>
      <c r="G70" s="546">
        <v>3173868</v>
      </c>
    </row>
    <row r="71" spans="1:7" ht="27.6" x14ac:dyDescent="0.25">
      <c r="A71" s="545" t="s">
        <v>753</v>
      </c>
      <c r="B71" s="546">
        <v>723000</v>
      </c>
      <c r="C71" s="546">
        <v>5467000</v>
      </c>
      <c r="E71" s="547" t="s">
        <v>783</v>
      </c>
      <c r="F71" s="548">
        <v>2493934</v>
      </c>
      <c r="G71" s="548">
        <v>3209916</v>
      </c>
    </row>
    <row r="72" spans="1:7" ht="27.6" x14ac:dyDescent="0.25">
      <c r="A72" s="545" t="s">
        <v>797</v>
      </c>
      <c r="B72" s="546">
        <v>0</v>
      </c>
      <c r="C72" s="546">
        <v>9733</v>
      </c>
      <c r="E72" s="547" t="s">
        <v>784</v>
      </c>
      <c r="F72" s="548">
        <v>11759735</v>
      </c>
      <c r="G72" s="548">
        <v>10196587</v>
      </c>
    </row>
    <row r="73" spans="1:7" ht="27.6" x14ac:dyDescent="0.25">
      <c r="A73" s="545" t="s">
        <v>798</v>
      </c>
      <c r="B73" s="546">
        <v>0</v>
      </c>
      <c r="C73" s="546">
        <v>-9733</v>
      </c>
      <c r="E73" s="545" t="s">
        <v>753</v>
      </c>
      <c r="F73" s="546">
        <v>730984</v>
      </c>
      <c r="G73" s="546">
        <v>5472940</v>
      </c>
    </row>
    <row r="74" spans="1:7" ht="27.6" x14ac:dyDescent="0.25">
      <c r="A74" s="547" t="s">
        <v>754</v>
      </c>
      <c r="B74" s="548">
        <v>723000</v>
      </c>
      <c r="C74" s="548">
        <v>5467000</v>
      </c>
      <c r="E74" s="545" t="s">
        <v>797</v>
      </c>
      <c r="F74" s="546">
        <v>0</v>
      </c>
      <c r="G74" s="546">
        <v>9733</v>
      </c>
    </row>
    <row r="75" spans="1:7" ht="27.6" x14ac:dyDescent="0.25">
      <c r="A75" s="547" t="s">
        <v>799</v>
      </c>
      <c r="B75" s="548">
        <v>723000</v>
      </c>
      <c r="C75" s="548">
        <v>5467000</v>
      </c>
      <c r="E75" s="545" t="s">
        <v>798</v>
      </c>
      <c r="F75" s="546">
        <v>0</v>
      </c>
      <c r="G75" s="546">
        <v>-9733</v>
      </c>
    </row>
    <row r="76" spans="1:7" ht="27.6" x14ac:dyDescent="0.25">
      <c r="A76" s="545" t="s">
        <v>758</v>
      </c>
      <c r="B76" s="546">
        <v>693408</v>
      </c>
      <c r="C76" s="546">
        <v>0</v>
      </c>
      <c r="E76" s="547" t="s">
        <v>754</v>
      </c>
      <c r="F76" s="548">
        <v>730984</v>
      </c>
      <c r="G76" s="548">
        <v>5472940</v>
      </c>
    </row>
    <row r="77" spans="1:7" ht="27.6" x14ac:dyDescent="0.25">
      <c r="A77" s="547" t="s">
        <v>759</v>
      </c>
      <c r="B77" s="548">
        <v>693408</v>
      </c>
      <c r="C77" s="548">
        <v>0</v>
      </c>
      <c r="E77" s="545" t="s">
        <v>755</v>
      </c>
      <c r="F77" s="546">
        <v>-7984</v>
      </c>
      <c r="G77" s="546">
        <v>-5940</v>
      </c>
    </row>
    <row r="78" spans="1:7" ht="27.6" x14ac:dyDescent="0.25">
      <c r="A78" s="550" t="s">
        <v>760</v>
      </c>
      <c r="B78" s="551">
        <v>99506103</v>
      </c>
      <c r="C78" s="551">
        <v>132599453</v>
      </c>
      <c r="E78" s="547" t="s">
        <v>756</v>
      </c>
      <c r="F78" s="548">
        <v>-7984</v>
      </c>
      <c r="G78" s="548">
        <v>-5940</v>
      </c>
    </row>
    <row r="79" spans="1:7" ht="27.6" x14ac:dyDescent="0.25">
      <c r="A79" s="545" t="s">
        <v>761</v>
      </c>
      <c r="B79" s="546">
        <v>545920165</v>
      </c>
      <c r="C79" s="546">
        <v>545920165</v>
      </c>
      <c r="E79" s="547" t="s">
        <v>799</v>
      </c>
      <c r="F79" s="548">
        <v>723000</v>
      </c>
      <c r="G79" s="548">
        <v>5467000</v>
      </c>
    </row>
    <row r="80" spans="1:7" ht="27.6" x14ac:dyDescent="0.25">
      <c r="A80" s="545" t="s">
        <v>763</v>
      </c>
      <c r="B80" s="546">
        <v>1000000</v>
      </c>
      <c r="C80" s="546">
        <v>1000000</v>
      </c>
      <c r="E80" s="545" t="s">
        <v>757</v>
      </c>
      <c r="F80" s="546">
        <v>48000</v>
      </c>
      <c r="G80" s="546">
        <v>0</v>
      </c>
    </row>
    <row r="81" spans="1:7" ht="27.6" x14ac:dyDescent="0.25">
      <c r="A81" s="545" t="s">
        <v>764</v>
      </c>
      <c r="B81" s="546">
        <v>-549613246</v>
      </c>
      <c r="C81" s="546">
        <v>-538217915</v>
      </c>
      <c r="E81" s="545" t="s">
        <v>758</v>
      </c>
      <c r="F81" s="546">
        <v>717838</v>
      </c>
      <c r="G81" s="546">
        <v>70089</v>
      </c>
    </row>
    <row r="82" spans="1:7" ht="27.6" x14ac:dyDescent="0.25">
      <c r="A82" s="545" t="s">
        <v>765</v>
      </c>
      <c r="B82" s="546">
        <v>11395331</v>
      </c>
      <c r="C82" s="546">
        <v>16481011</v>
      </c>
      <c r="E82" s="547" t="s">
        <v>759</v>
      </c>
      <c r="F82" s="548">
        <v>765838</v>
      </c>
      <c r="G82" s="548">
        <v>70089</v>
      </c>
    </row>
    <row r="83" spans="1:7" ht="13.8" x14ac:dyDescent="0.25">
      <c r="A83" s="547" t="s">
        <v>766</v>
      </c>
      <c r="B83" s="548">
        <v>8702250</v>
      </c>
      <c r="C83" s="548">
        <v>25183261</v>
      </c>
      <c r="E83" s="550" t="s">
        <v>760</v>
      </c>
      <c r="F83" s="551">
        <v>1147402942</v>
      </c>
      <c r="G83" s="551">
        <v>1303860576</v>
      </c>
    </row>
    <row r="84" spans="1:7" ht="27.6" x14ac:dyDescent="0.25">
      <c r="A84" s="545" t="s">
        <v>768</v>
      </c>
      <c r="B84" s="546">
        <v>11529764</v>
      </c>
      <c r="C84" s="546">
        <v>31354804</v>
      </c>
      <c r="E84" s="545" t="s">
        <v>761</v>
      </c>
      <c r="F84" s="546">
        <v>614205745</v>
      </c>
      <c r="G84" s="546">
        <v>614205745</v>
      </c>
    </row>
    <row r="85" spans="1:7" ht="27.6" x14ac:dyDescent="0.25">
      <c r="A85" s="547" t="s">
        <v>769</v>
      </c>
      <c r="B85" s="548">
        <v>11529764</v>
      </c>
      <c r="C85" s="548">
        <v>31354804</v>
      </c>
      <c r="E85" s="545" t="s">
        <v>762</v>
      </c>
      <c r="F85" s="546">
        <v>483948754</v>
      </c>
      <c r="G85" s="546">
        <v>483948754</v>
      </c>
    </row>
    <row r="86" spans="1:7" ht="27.6" x14ac:dyDescent="0.25">
      <c r="A86" s="545" t="s">
        <v>800</v>
      </c>
      <c r="B86" s="546">
        <v>109900</v>
      </c>
      <c r="C86" s="546">
        <v>182165</v>
      </c>
      <c r="E86" s="545" t="s">
        <v>763</v>
      </c>
      <c r="F86" s="546">
        <v>26396336</v>
      </c>
      <c r="G86" s="546">
        <v>26396336</v>
      </c>
    </row>
    <row r="87" spans="1:7" ht="27.6" x14ac:dyDescent="0.25">
      <c r="A87" s="545" t="s">
        <v>785</v>
      </c>
      <c r="B87" s="546">
        <v>4629996</v>
      </c>
      <c r="C87" s="546">
        <v>3317741</v>
      </c>
      <c r="E87" s="545" t="s">
        <v>764</v>
      </c>
      <c r="F87" s="546">
        <v>-464926959</v>
      </c>
      <c r="G87" s="546">
        <v>-354175578</v>
      </c>
    </row>
    <row r="88" spans="1:7" ht="27.6" x14ac:dyDescent="0.25">
      <c r="A88" s="547" t="s">
        <v>786</v>
      </c>
      <c r="B88" s="548">
        <v>4739896</v>
      </c>
      <c r="C88" s="548">
        <v>3499906</v>
      </c>
      <c r="E88" s="545" t="s">
        <v>765</v>
      </c>
      <c r="F88" s="546">
        <v>110751381</v>
      </c>
      <c r="G88" s="546">
        <v>114925978</v>
      </c>
    </row>
    <row r="89" spans="1:7" ht="13.8" x14ac:dyDescent="0.25">
      <c r="A89" s="547" t="s">
        <v>770</v>
      </c>
      <c r="B89" s="548">
        <v>16269660</v>
      </c>
      <c r="C89" s="548">
        <v>34854710</v>
      </c>
      <c r="E89" s="547" t="s">
        <v>766</v>
      </c>
      <c r="F89" s="548">
        <v>770375257</v>
      </c>
      <c r="G89" s="548">
        <v>885301235</v>
      </c>
    </row>
    <row r="90" spans="1:7" ht="27.6" x14ac:dyDescent="0.25">
      <c r="A90" s="545" t="s">
        <v>771</v>
      </c>
      <c r="B90" s="546">
        <v>74534193</v>
      </c>
      <c r="C90" s="546">
        <v>72561482</v>
      </c>
      <c r="E90" s="545" t="s">
        <v>767</v>
      </c>
      <c r="F90" s="546">
        <v>13760</v>
      </c>
      <c r="G90" s="546">
        <v>0</v>
      </c>
    </row>
    <row r="91" spans="1:7" ht="27.6" x14ac:dyDescent="0.25">
      <c r="A91" s="547" t="s">
        <v>773</v>
      </c>
      <c r="B91" s="548">
        <v>74534193</v>
      </c>
      <c r="C91" s="548">
        <v>72561482</v>
      </c>
      <c r="E91" s="545" t="s">
        <v>768</v>
      </c>
      <c r="F91" s="546">
        <v>11931544</v>
      </c>
      <c r="G91" s="546">
        <v>32372765</v>
      </c>
    </row>
    <row r="92" spans="1:7" ht="27.6" x14ac:dyDescent="0.25">
      <c r="A92" s="550" t="s">
        <v>774</v>
      </c>
      <c r="B92" s="551">
        <v>99506103</v>
      </c>
      <c r="C92" s="551">
        <v>132599453</v>
      </c>
      <c r="E92" s="547" t="s">
        <v>769</v>
      </c>
      <c r="F92" s="548">
        <v>11945304</v>
      </c>
      <c r="G92" s="548">
        <v>32372765</v>
      </c>
    </row>
    <row r="93" spans="1:7" ht="13.8" x14ac:dyDescent="0.25">
      <c r="E93" s="545" t="s">
        <v>800</v>
      </c>
      <c r="F93" s="546">
        <v>109900</v>
      </c>
      <c r="G93" s="546">
        <v>182165</v>
      </c>
    </row>
    <row r="94" spans="1:7" ht="27.6" x14ac:dyDescent="0.25">
      <c r="E94" s="545" t="s">
        <v>785</v>
      </c>
      <c r="F94" s="546">
        <v>4808066</v>
      </c>
      <c r="G94" s="546">
        <v>3470311</v>
      </c>
    </row>
    <row r="95" spans="1:7" ht="27.6" x14ac:dyDescent="0.25">
      <c r="E95" s="547" t="s">
        <v>786</v>
      </c>
      <c r="F95" s="548">
        <v>4917966</v>
      </c>
      <c r="G95" s="548">
        <v>3652476</v>
      </c>
    </row>
    <row r="96" spans="1:7" ht="13.8" x14ac:dyDescent="0.25">
      <c r="E96" s="547" t="s">
        <v>770</v>
      </c>
      <c r="F96" s="548">
        <v>16863270</v>
      </c>
      <c r="G96" s="548">
        <v>36025241</v>
      </c>
    </row>
    <row r="97" spans="5:7" ht="27.6" x14ac:dyDescent="0.25">
      <c r="E97" s="545" t="s">
        <v>771</v>
      </c>
      <c r="F97" s="546">
        <v>100986853</v>
      </c>
      <c r="G97" s="546">
        <v>104211070</v>
      </c>
    </row>
    <row r="98" spans="5:7" ht="13.8" x14ac:dyDescent="0.25">
      <c r="E98" s="545" t="s">
        <v>772</v>
      </c>
      <c r="F98" s="546">
        <v>259177562</v>
      </c>
      <c r="G98" s="546">
        <v>278323030</v>
      </c>
    </row>
    <row r="99" spans="5:7" ht="27.6" x14ac:dyDescent="0.25">
      <c r="E99" s="547" t="s">
        <v>773</v>
      </c>
      <c r="F99" s="548">
        <v>360164415</v>
      </c>
      <c r="G99" s="548">
        <v>382534100</v>
      </c>
    </row>
    <row r="100" spans="5:7" ht="13.8" x14ac:dyDescent="0.25">
      <c r="E100" s="550" t="s">
        <v>774</v>
      </c>
      <c r="F100" s="551">
        <v>1147402942</v>
      </c>
      <c r="G100" s="551">
        <v>1303860576</v>
      </c>
    </row>
    <row r="102" spans="5:7" x14ac:dyDescent="0.25">
      <c r="G102" s="4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F0DE-F2F4-45DB-AD3F-A344F1DB5D75}">
  <dimension ref="A1:I56"/>
  <sheetViews>
    <sheetView topLeftCell="A13" workbookViewId="0">
      <selection activeCell="H34" sqref="H34:I55"/>
    </sheetView>
  </sheetViews>
  <sheetFormatPr defaultRowHeight="13.2" x14ac:dyDescent="0.25"/>
  <cols>
    <col min="1" max="1" width="41" customWidth="1"/>
    <col min="2" max="2" width="19.88671875" customWidth="1"/>
    <col min="3" max="3" width="18.5546875" customWidth="1"/>
    <col min="4" max="4" width="9.109375"/>
    <col min="5" max="5" width="41" customWidth="1"/>
    <col min="6" max="6" width="19.5546875" customWidth="1"/>
    <col min="7" max="7" width="18.88671875" customWidth="1"/>
    <col min="8" max="8" width="8.88671875" style="687"/>
    <col min="9" max="9" width="9.109375" bestFit="1" customWidth="1"/>
  </cols>
  <sheetData>
    <row r="1" spans="1:7" ht="14.4" x14ac:dyDescent="0.3">
      <c r="A1" s="554" t="s">
        <v>802</v>
      </c>
      <c r="B1" s="554"/>
      <c r="C1" s="554"/>
      <c r="D1" s="554"/>
      <c r="E1" s="554"/>
      <c r="F1" s="554"/>
      <c r="G1" s="554"/>
    </row>
    <row r="2" spans="1:7" ht="14.4" x14ac:dyDescent="0.3">
      <c r="A2" s="830" t="s">
        <v>739</v>
      </c>
      <c r="B2" s="830"/>
      <c r="C2" s="830"/>
      <c r="D2" s="830"/>
      <c r="E2" s="830"/>
      <c r="F2" s="830"/>
      <c r="G2" s="830"/>
    </row>
    <row r="3" spans="1:7" ht="14.4" x14ac:dyDescent="0.3">
      <c r="A3" s="830" t="s">
        <v>741</v>
      </c>
      <c r="B3" s="830"/>
      <c r="C3" s="830"/>
      <c r="D3" s="830"/>
      <c r="E3" s="830"/>
      <c r="F3" s="830"/>
      <c r="G3" s="830"/>
    </row>
    <row r="4" spans="1:7" ht="14.4" x14ac:dyDescent="0.3">
      <c r="A4" s="830" t="s">
        <v>803</v>
      </c>
      <c r="B4" s="830"/>
      <c r="C4" s="830"/>
      <c r="D4" s="830"/>
      <c r="E4" s="830"/>
      <c r="F4" s="830"/>
      <c r="G4" s="830"/>
    </row>
    <row r="5" spans="1:7" x14ac:dyDescent="0.25">
      <c r="G5" s="3" t="s">
        <v>240</v>
      </c>
    </row>
    <row r="6" spans="1:7" x14ac:dyDescent="0.25">
      <c r="A6" s="83" t="s">
        <v>253</v>
      </c>
      <c r="E6" s="83" t="s">
        <v>775</v>
      </c>
    </row>
    <row r="8" spans="1:7" ht="31.2" x14ac:dyDescent="0.25">
      <c r="A8" s="544" t="s">
        <v>110</v>
      </c>
      <c r="B8" s="544" t="s">
        <v>742</v>
      </c>
      <c r="C8" s="544" t="s">
        <v>743</v>
      </c>
      <c r="E8" s="544" t="s">
        <v>110</v>
      </c>
      <c r="F8" s="544" t="s">
        <v>742</v>
      </c>
      <c r="G8" s="544" t="s">
        <v>743</v>
      </c>
    </row>
    <row r="9" spans="1:7" ht="27.6" x14ac:dyDescent="0.25">
      <c r="A9" s="545" t="s">
        <v>804</v>
      </c>
      <c r="B9" s="546">
        <v>7098862</v>
      </c>
      <c r="C9" s="546">
        <v>6498924</v>
      </c>
      <c r="E9" s="545" t="s">
        <v>804</v>
      </c>
      <c r="F9" s="546">
        <v>2619138</v>
      </c>
      <c r="G9" s="546">
        <v>1464706</v>
      </c>
    </row>
    <row r="10" spans="1:7" ht="27.6" x14ac:dyDescent="0.25">
      <c r="A10" s="547" t="s">
        <v>805</v>
      </c>
      <c r="B10" s="548">
        <v>7098862</v>
      </c>
      <c r="C10" s="548">
        <v>6498924</v>
      </c>
      <c r="E10" s="547" t="s">
        <v>805</v>
      </c>
      <c r="F10" s="548">
        <v>2619138</v>
      </c>
      <c r="G10" s="548">
        <v>1464706</v>
      </c>
    </row>
    <row r="11" spans="1:7" ht="27.6" x14ac:dyDescent="0.25">
      <c r="A11" s="545" t="s">
        <v>806</v>
      </c>
      <c r="B11" s="546">
        <v>1295624908</v>
      </c>
      <c r="C11" s="546">
        <v>1619013725</v>
      </c>
      <c r="E11" s="545" t="s">
        <v>823</v>
      </c>
      <c r="F11" s="546">
        <v>363232823</v>
      </c>
      <c r="G11" s="546">
        <v>444893623</v>
      </c>
    </row>
    <row r="12" spans="1:7" ht="27.6" x14ac:dyDescent="0.25">
      <c r="A12" s="545" t="s">
        <v>807</v>
      </c>
      <c r="B12" s="546">
        <v>6019221</v>
      </c>
      <c r="C12" s="546">
        <v>17513270</v>
      </c>
      <c r="E12" s="545" t="s">
        <v>806</v>
      </c>
      <c r="F12" s="546">
        <v>4769200</v>
      </c>
      <c r="G12" s="546">
        <v>6153400</v>
      </c>
    </row>
    <row r="13" spans="1:7" ht="13.8" x14ac:dyDescent="0.25">
      <c r="A13" s="545" t="s">
        <v>808</v>
      </c>
      <c r="B13" s="546">
        <v>518697</v>
      </c>
      <c r="C13" s="546">
        <v>1885</v>
      </c>
      <c r="E13" s="545" t="s">
        <v>808</v>
      </c>
      <c r="F13" s="546">
        <v>3046947</v>
      </c>
      <c r="G13" s="546">
        <v>2655425</v>
      </c>
    </row>
    <row r="14" spans="1:7" ht="27.6" x14ac:dyDescent="0.25">
      <c r="A14" s="547" t="s">
        <v>809</v>
      </c>
      <c r="B14" s="548">
        <v>1302162826</v>
      </c>
      <c r="C14" s="548">
        <v>1636528880</v>
      </c>
      <c r="E14" s="547" t="s">
        <v>809</v>
      </c>
      <c r="F14" s="548">
        <v>371048970</v>
      </c>
      <c r="G14" s="548">
        <v>453702448</v>
      </c>
    </row>
    <row r="15" spans="1:7" ht="13.8" x14ac:dyDescent="0.25">
      <c r="A15" s="545" t="s">
        <v>810</v>
      </c>
      <c r="B15" s="546">
        <v>2658363</v>
      </c>
      <c r="C15" s="546">
        <v>4118541</v>
      </c>
      <c r="E15" s="545" t="s">
        <v>824</v>
      </c>
      <c r="F15" s="546">
        <v>4307232</v>
      </c>
      <c r="G15" s="546">
        <v>3656582</v>
      </c>
    </row>
    <row r="16" spans="1:7" ht="13.8" x14ac:dyDescent="0.25">
      <c r="A16" s="545" t="s">
        <v>811</v>
      </c>
      <c r="B16" s="546">
        <v>49389</v>
      </c>
      <c r="C16" s="546">
        <v>22055</v>
      </c>
      <c r="E16" s="545" t="s">
        <v>810</v>
      </c>
      <c r="F16" s="546">
        <v>24100927</v>
      </c>
      <c r="G16" s="546">
        <v>28519198</v>
      </c>
    </row>
    <row r="17" spans="1:7" ht="13.8" x14ac:dyDescent="0.25">
      <c r="A17" s="547" t="s">
        <v>812</v>
      </c>
      <c r="B17" s="548">
        <v>2707752</v>
      </c>
      <c r="C17" s="548">
        <v>4140596</v>
      </c>
      <c r="E17" s="545" t="s">
        <v>811</v>
      </c>
      <c r="F17" s="546">
        <v>0</v>
      </c>
      <c r="G17" s="546">
        <v>4016</v>
      </c>
    </row>
    <row r="18" spans="1:7" ht="13.8" x14ac:dyDescent="0.25">
      <c r="A18" s="545" t="s">
        <v>813</v>
      </c>
      <c r="B18" s="546">
        <v>512794</v>
      </c>
      <c r="C18" s="546">
        <v>563125</v>
      </c>
      <c r="E18" s="547" t="s">
        <v>812</v>
      </c>
      <c r="F18" s="548">
        <v>28408159</v>
      </c>
      <c r="G18" s="548">
        <v>32179796</v>
      </c>
    </row>
    <row r="19" spans="1:7" ht="13.8" x14ac:dyDescent="0.25">
      <c r="A19" s="545" t="s">
        <v>814</v>
      </c>
      <c r="B19" s="546">
        <v>162017</v>
      </c>
      <c r="C19" s="546">
        <v>197484</v>
      </c>
      <c r="E19" s="545" t="s">
        <v>825</v>
      </c>
      <c r="F19" s="546">
        <v>271696841</v>
      </c>
      <c r="G19" s="546">
        <v>337719470</v>
      </c>
    </row>
    <row r="20" spans="1:7" ht="13.8" x14ac:dyDescent="0.25">
      <c r="A20" s="547" t="s">
        <v>815</v>
      </c>
      <c r="B20" s="548">
        <v>674811</v>
      </c>
      <c r="C20" s="548">
        <v>760609</v>
      </c>
      <c r="E20" s="545" t="s">
        <v>813</v>
      </c>
      <c r="F20" s="546">
        <v>22345245</v>
      </c>
      <c r="G20" s="546">
        <v>27809963</v>
      </c>
    </row>
    <row r="21" spans="1:7" ht="13.8" x14ac:dyDescent="0.25">
      <c r="A21" s="547" t="s">
        <v>816</v>
      </c>
      <c r="B21" s="548">
        <v>16972371</v>
      </c>
      <c r="C21" s="548">
        <v>17513270</v>
      </c>
      <c r="E21" s="545" t="s">
        <v>814</v>
      </c>
      <c r="F21" s="546">
        <v>42236605</v>
      </c>
      <c r="G21" s="546">
        <v>54935996</v>
      </c>
    </row>
    <row r="22" spans="1:7" ht="13.8" x14ac:dyDescent="0.25">
      <c r="A22" s="547" t="s">
        <v>817</v>
      </c>
      <c r="B22" s="548">
        <v>1204813411</v>
      </c>
      <c r="C22" s="548">
        <v>1524226921</v>
      </c>
      <c r="E22" s="547" t="s">
        <v>815</v>
      </c>
      <c r="F22" s="548">
        <v>336278691</v>
      </c>
      <c r="G22" s="548">
        <v>420465429</v>
      </c>
    </row>
    <row r="23" spans="1:7" ht="27.6" x14ac:dyDescent="0.25">
      <c r="A23" s="547" t="s">
        <v>818</v>
      </c>
      <c r="B23" s="548">
        <v>84093343</v>
      </c>
      <c r="C23" s="548">
        <v>96386408</v>
      </c>
      <c r="E23" s="547" t="s">
        <v>816</v>
      </c>
      <c r="F23" s="548">
        <v>2261781</v>
      </c>
      <c r="G23" s="548">
        <v>1782118</v>
      </c>
    </row>
    <row r="24" spans="1:7" ht="27.6" x14ac:dyDescent="0.25">
      <c r="A24" s="545" t="s">
        <v>819</v>
      </c>
      <c r="B24" s="546">
        <v>14679257</v>
      </c>
      <c r="C24" s="546">
        <v>7427972</v>
      </c>
      <c r="E24" s="547" t="s">
        <v>817</v>
      </c>
      <c r="F24" s="548">
        <v>6136027</v>
      </c>
      <c r="G24" s="548">
        <v>6109224</v>
      </c>
    </row>
    <row r="25" spans="1:7" ht="27.6" x14ac:dyDescent="0.25">
      <c r="A25" s="547" t="s">
        <v>820</v>
      </c>
      <c r="B25" s="548">
        <v>14679257</v>
      </c>
      <c r="C25" s="548">
        <v>7427972</v>
      </c>
      <c r="E25" s="547" t="s">
        <v>818</v>
      </c>
      <c r="F25" s="548">
        <v>583450</v>
      </c>
      <c r="G25" s="548">
        <v>-5369413</v>
      </c>
    </row>
    <row r="26" spans="1:7" ht="13.8" x14ac:dyDescent="0.25">
      <c r="A26" s="547" t="s">
        <v>821</v>
      </c>
      <c r="B26" s="548">
        <v>14679257</v>
      </c>
      <c r="C26" s="548">
        <v>7427972</v>
      </c>
      <c r="E26" s="550" t="s">
        <v>822</v>
      </c>
      <c r="F26" s="551">
        <v>583450</v>
      </c>
      <c r="G26" s="551">
        <v>-5369413</v>
      </c>
    </row>
    <row r="27" spans="1:7" ht="13.8" x14ac:dyDescent="0.25">
      <c r="A27" s="550" t="s">
        <v>822</v>
      </c>
      <c r="B27" s="551">
        <v>98772600</v>
      </c>
      <c r="C27" s="551">
        <v>103814380</v>
      </c>
    </row>
    <row r="30" spans="1:7" x14ac:dyDescent="0.25">
      <c r="A30" s="556" t="s">
        <v>247</v>
      </c>
      <c r="E30" s="83" t="s">
        <v>826</v>
      </c>
    </row>
    <row r="32" spans="1:7" ht="31.2" x14ac:dyDescent="0.25">
      <c r="A32" s="544" t="s">
        <v>110</v>
      </c>
      <c r="B32" s="544" t="s">
        <v>742</v>
      </c>
      <c r="C32" s="544" t="s">
        <v>743</v>
      </c>
      <c r="E32" s="544" t="s">
        <v>110</v>
      </c>
      <c r="F32" s="544" t="s">
        <v>742</v>
      </c>
      <c r="G32" s="544" t="s">
        <v>743</v>
      </c>
    </row>
    <row r="33" spans="1:7" ht="27.6" x14ac:dyDescent="0.25">
      <c r="A33" s="545" t="s">
        <v>804</v>
      </c>
      <c r="B33" s="546">
        <v>381826522</v>
      </c>
      <c r="C33" s="546">
        <v>413306374</v>
      </c>
      <c r="E33" s="545" t="s">
        <v>804</v>
      </c>
      <c r="F33" s="546">
        <v>391544522</v>
      </c>
      <c r="G33" s="546">
        <v>421270004</v>
      </c>
    </row>
    <row r="34" spans="1:7" ht="27.6" x14ac:dyDescent="0.25">
      <c r="A34" s="547" t="s">
        <v>805</v>
      </c>
      <c r="B34" s="548">
        <v>381826522</v>
      </c>
      <c r="C34" s="548">
        <v>413306374</v>
      </c>
      <c r="E34" s="547" t="s">
        <v>805</v>
      </c>
      <c r="F34" s="548">
        <v>391544522</v>
      </c>
      <c r="G34" s="548">
        <v>421270004</v>
      </c>
    </row>
    <row r="35" spans="1:7" ht="27.6" x14ac:dyDescent="0.25">
      <c r="A35" s="545" t="s">
        <v>823</v>
      </c>
      <c r="B35" s="546">
        <v>820788773</v>
      </c>
      <c r="C35" s="546">
        <v>1061284928</v>
      </c>
      <c r="E35" s="545" t="s">
        <v>823</v>
      </c>
      <c r="F35" s="546">
        <v>1184021596</v>
      </c>
      <c r="G35" s="546">
        <v>1506178551</v>
      </c>
    </row>
    <row r="36" spans="1:7" ht="27.6" x14ac:dyDescent="0.25">
      <c r="A36" s="545" t="s">
        <v>806</v>
      </c>
      <c r="B36" s="546">
        <v>4970845</v>
      </c>
      <c r="C36" s="546">
        <v>7206710</v>
      </c>
      <c r="E36" s="545" t="s">
        <v>806</v>
      </c>
      <c r="F36" s="546">
        <v>1305364953</v>
      </c>
      <c r="G36" s="546">
        <v>1632373835</v>
      </c>
    </row>
    <row r="37" spans="1:7" ht="27.6" x14ac:dyDescent="0.25">
      <c r="A37" s="545" t="s">
        <v>808</v>
      </c>
      <c r="B37" s="546">
        <v>6458539</v>
      </c>
      <c r="C37" s="546">
        <v>7026702</v>
      </c>
      <c r="E37" s="545" t="s">
        <v>807</v>
      </c>
      <c r="F37" s="546">
        <v>6019221</v>
      </c>
      <c r="G37" s="546">
        <v>17513270</v>
      </c>
    </row>
    <row r="38" spans="1:7" ht="27.6" x14ac:dyDescent="0.25">
      <c r="A38" s="547" t="s">
        <v>809</v>
      </c>
      <c r="B38" s="548">
        <v>832218157</v>
      </c>
      <c r="C38" s="548">
        <v>1075518340</v>
      </c>
      <c r="E38" s="545" t="s">
        <v>808</v>
      </c>
      <c r="F38" s="546">
        <v>10024183</v>
      </c>
      <c r="G38" s="546">
        <v>9684012</v>
      </c>
    </row>
    <row r="39" spans="1:7" ht="27.6" x14ac:dyDescent="0.25">
      <c r="A39" s="545" t="s">
        <v>824</v>
      </c>
      <c r="B39" s="546">
        <v>105610425</v>
      </c>
      <c r="C39" s="546">
        <v>36136761</v>
      </c>
      <c r="E39" s="547" t="s">
        <v>809</v>
      </c>
      <c r="F39" s="548">
        <v>2505429953</v>
      </c>
      <c r="G39" s="548">
        <v>3165749668</v>
      </c>
    </row>
    <row r="40" spans="1:7" ht="13.8" x14ac:dyDescent="0.25">
      <c r="A40" s="545" t="s">
        <v>810</v>
      </c>
      <c r="B40" s="546">
        <v>190350717</v>
      </c>
      <c r="C40" s="546">
        <v>389414005</v>
      </c>
      <c r="E40" s="545" t="s">
        <v>824</v>
      </c>
      <c r="F40" s="546">
        <v>109917657</v>
      </c>
      <c r="G40" s="546">
        <v>39793343</v>
      </c>
    </row>
    <row r="41" spans="1:7" ht="13.8" x14ac:dyDescent="0.25">
      <c r="A41" s="545" t="s">
        <v>811</v>
      </c>
      <c r="B41" s="546">
        <v>5004886</v>
      </c>
      <c r="C41" s="546">
        <v>1467143</v>
      </c>
      <c r="E41" s="545" t="s">
        <v>810</v>
      </c>
      <c r="F41" s="546">
        <v>217110007</v>
      </c>
      <c r="G41" s="546">
        <v>422051744</v>
      </c>
    </row>
    <row r="42" spans="1:7" ht="13.8" x14ac:dyDescent="0.25">
      <c r="A42" s="547" t="s">
        <v>812</v>
      </c>
      <c r="B42" s="548">
        <v>300966028</v>
      </c>
      <c r="C42" s="548">
        <v>427017909</v>
      </c>
      <c r="E42" s="545" t="s">
        <v>811</v>
      </c>
      <c r="F42" s="546">
        <v>5054275</v>
      </c>
      <c r="G42" s="546">
        <v>1493214</v>
      </c>
    </row>
    <row r="43" spans="1:7" ht="13.8" x14ac:dyDescent="0.25">
      <c r="A43" s="545" t="s">
        <v>825</v>
      </c>
      <c r="B43" s="546">
        <v>693483044</v>
      </c>
      <c r="C43" s="546">
        <v>771373906</v>
      </c>
      <c r="E43" s="547" t="s">
        <v>812</v>
      </c>
      <c r="F43" s="548">
        <v>332081939</v>
      </c>
      <c r="G43" s="548">
        <v>463338301</v>
      </c>
    </row>
    <row r="44" spans="1:7" ht="13.8" x14ac:dyDescent="0.25">
      <c r="A44" s="545" t="s">
        <v>813</v>
      </c>
      <c r="B44" s="546">
        <v>54175807</v>
      </c>
      <c r="C44" s="546">
        <v>70851020</v>
      </c>
      <c r="E44" s="545" t="s">
        <v>825</v>
      </c>
      <c r="F44" s="546">
        <v>965179885</v>
      </c>
      <c r="G44" s="546">
        <v>1109093376</v>
      </c>
    </row>
    <row r="45" spans="1:7" ht="13.8" x14ac:dyDescent="0.25">
      <c r="A45" s="545" t="s">
        <v>814</v>
      </c>
      <c r="B45" s="546">
        <v>93954190</v>
      </c>
      <c r="C45" s="546">
        <v>110933635</v>
      </c>
      <c r="E45" s="545" t="s">
        <v>813</v>
      </c>
      <c r="F45" s="546">
        <v>77033846</v>
      </c>
      <c r="G45" s="546">
        <v>99224108</v>
      </c>
    </row>
    <row r="46" spans="1:7" ht="13.8" x14ac:dyDescent="0.25">
      <c r="A46" s="547" t="s">
        <v>815</v>
      </c>
      <c r="B46" s="548">
        <v>841613041</v>
      </c>
      <c r="C46" s="548">
        <v>953158561</v>
      </c>
      <c r="E46" s="545" t="s">
        <v>814</v>
      </c>
      <c r="F46" s="546">
        <v>136352812</v>
      </c>
      <c r="G46" s="546">
        <v>166067115</v>
      </c>
    </row>
    <row r="47" spans="1:7" ht="13.8" x14ac:dyDescent="0.25">
      <c r="A47" s="547" t="s">
        <v>816</v>
      </c>
      <c r="B47" s="548">
        <v>2942061</v>
      </c>
      <c r="C47" s="548">
        <v>6239115</v>
      </c>
      <c r="E47" s="547" t="s">
        <v>815</v>
      </c>
      <c r="F47" s="548">
        <v>1178566543</v>
      </c>
      <c r="G47" s="548">
        <v>1374384599</v>
      </c>
    </row>
    <row r="48" spans="1:7" ht="13.8" x14ac:dyDescent="0.25">
      <c r="A48" s="547" t="s">
        <v>817</v>
      </c>
      <c r="B48" s="548">
        <v>57128218</v>
      </c>
      <c r="C48" s="548">
        <v>85928118</v>
      </c>
      <c r="E48" s="547" t="s">
        <v>816</v>
      </c>
      <c r="F48" s="548">
        <v>22176213</v>
      </c>
      <c r="G48" s="548">
        <v>25534503</v>
      </c>
    </row>
    <row r="49" spans="1:9" ht="27.6" x14ac:dyDescent="0.25">
      <c r="A49" s="547" t="s">
        <v>818</v>
      </c>
      <c r="B49" s="548">
        <v>11395331</v>
      </c>
      <c r="C49" s="548">
        <v>16481011</v>
      </c>
      <c r="E49" s="547" t="s">
        <v>817</v>
      </c>
      <c r="F49" s="548">
        <v>1268077656</v>
      </c>
      <c r="G49" s="548">
        <v>1616264263</v>
      </c>
    </row>
    <row r="50" spans="1:9" ht="27.6" x14ac:dyDescent="0.25">
      <c r="A50" s="550" t="s">
        <v>822</v>
      </c>
      <c r="B50" s="551">
        <v>11395331</v>
      </c>
      <c r="C50" s="551">
        <v>16481011</v>
      </c>
      <c r="E50" s="547" t="s">
        <v>818</v>
      </c>
      <c r="F50" s="548">
        <v>96072124</v>
      </c>
      <c r="G50" s="548">
        <v>107498006</v>
      </c>
    </row>
    <row r="51" spans="1:9" ht="27.6" x14ac:dyDescent="0.25">
      <c r="E51" s="545" t="s">
        <v>819</v>
      </c>
      <c r="F51" s="546">
        <v>14679257</v>
      </c>
      <c r="G51" s="546">
        <v>7427972</v>
      </c>
    </row>
    <row r="52" spans="1:9" ht="27.6" x14ac:dyDescent="0.25">
      <c r="E52" s="547" t="s">
        <v>820</v>
      </c>
      <c r="F52" s="548">
        <v>14679257</v>
      </c>
      <c r="G52" s="548">
        <v>7427972</v>
      </c>
    </row>
    <row r="53" spans="1:9" ht="13.8" x14ac:dyDescent="0.25">
      <c r="E53" s="547" t="s">
        <v>821</v>
      </c>
      <c r="F53" s="548">
        <v>14679257</v>
      </c>
      <c r="G53" s="548">
        <v>7427972</v>
      </c>
    </row>
    <row r="54" spans="1:9" ht="13.8" x14ac:dyDescent="0.25">
      <c r="E54" s="550" t="s">
        <v>822</v>
      </c>
      <c r="F54" s="551">
        <v>110751381</v>
      </c>
      <c r="G54" s="551">
        <v>114925978</v>
      </c>
      <c r="I54" s="4"/>
    </row>
    <row r="56" spans="1:9" x14ac:dyDescent="0.25">
      <c r="G56" s="4"/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B7E22-29E8-46C7-80A7-FCA32AA7D80F}">
  <dimension ref="A1:G34"/>
  <sheetViews>
    <sheetView topLeftCell="B1" workbookViewId="0">
      <selection activeCell="F5" sqref="F5"/>
    </sheetView>
  </sheetViews>
  <sheetFormatPr defaultRowHeight="13.2" x14ac:dyDescent="0.25"/>
  <cols>
    <col min="1" max="1" width="41" customWidth="1"/>
    <col min="2" max="2" width="32.77734375" customWidth="1"/>
    <col min="5" max="5" width="41" customWidth="1"/>
    <col min="6" max="6" width="24.88671875" customWidth="1"/>
  </cols>
  <sheetData>
    <row r="1" spans="1:6" ht="14.4" x14ac:dyDescent="0.3">
      <c r="A1" s="830" t="s">
        <v>300</v>
      </c>
      <c r="B1" s="830"/>
      <c r="C1" s="830"/>
      <c r="D1" s="830"/>
      <c r="E1" s="830"/>
      <c r="F1" s="830"/>
    </row>
    <row r="2" spans="1:6" ht="14.4" x14ac:dyDescent="0.3">
      <c r="A2" s="830" t="s">
        <v>739</v>
      </c>
      <c r="B2" s="830"/>
      <c r="C2" s="830"/>
      <c r="D2" s="830"/>
      <c r="E2" s="830"/>
      <c r="F2" s="830"/>
    </row>
    <row r="3" spans="1:6" ht="14.4" x14ac:dyDescent="0.3">
      <c r="A3" s="830" t="s">
        <v>741</v>
      </c>
      <c r="B3" s="830"/>
      <c r="C3" s="830"/>
      <c r="D3" s="830"/>
      <c r="E3" s="830"/>
      <c r="F3" s="830"/>
    </row>
    <row r="4" spans="1:6" ht="14.4" x14ac:dyDescent="0.3">
      <c r="A4" s="830" t="s">
        <v>827</v>
      </c>
      <c r="B4" s="830"/>
      <c r="C4" s="830"/>
      <c r="D4" s="830"/>
      <c r="E4" s="830"/>
      <c r="F4" s="830"/>
    </row>
    <row r="5" spans="1:6" x14ac:dyDescent="0.25">
      <c r="F5" s="3" t="s">
        <v>395</v>
      </c>
    </row>
    <row r="7" spans="1:6" x14ac:dyDescent="0.25">
      <c r="A7" s="83" t="s">
        <v>253</v>
      </c>
      <c r="E7" s="83" t="s">
        <v>775</v>
      </c>
    </row>
    <row r="9" spans="1:6" ht="15.6" x14ac:dyDescent="0.25">
      <c r="A9" s="544" t="s">
        <v>110</v>
      </c>
      <c r="B9" s="544" t="s">
        <v>828</v>
      </c>
      <c r="E9" s="544" t="s">
        <v>110</v>
      </c>
      <c r="F9" s="544" t="s">
        <v>828</v>
      </c>
    </row>
    <row r="10" spans="1:6" ht="13.8" x14ac:dyDescent="0.25">
      <c r="A10" s="545" t="s">
        <v>829</v>
      </c>
      <c r="B10" s="546">
        <v>1669607184</v>
      </c>
      <c r="E10" s="545" t="s">
        <v>829</v>
      </c>
      <c r="F10" s="546">
        <v>10059548</v>
      </c>
    </row>
    <row r="11" spans="1:6" ht="13.8" x14ac:dyDescent="0.25">
      <c r="A11" s="545" t="s">
        <v>830</v>
      </c>
      <c r="B11" s="546">
        <v>47568120</v>
      </c>
      <c r="E11" s="545" t="s">
        <v>830</v>
      </c>
      <c r="F11" s="546">
        <v>454237497</v>
      </c>
    </row>
    <row r="12" spans="1:6" ht="27.6" x14ac:dyDescent="0.25">
      <c r="A12" s="547" t="s">
        <v>831</v>
      </c>
      <c r="B12" s="548">
        <v>1622039064</v>
      </c>
      <c r="E12" s="547" t="s">
        <v>831</v>
      </c>
      <c r="F12" s="548">
        <v>-444177949</v>
      </c>
    </row>
    <row r="13" spans="1:6" ht="13.8" x14ac:dyDescent="0.25">
      <c r="A13" s="545" t="s">
        <v>832</v>
      </c>
      <c r="B13" s="546">
        <v>270340454</v>
      </c>
      <c r="E13" s="545" t="s">
        <v>832</v>
      </c>
      <c r="F13" s="546">
        <v>456336670</v>
      </c>
    </row>
    <row r="14" spans="1:6" ht="27.6" x14ac:dyDescent="0.25">
      <c r="A14" s="545" t="s">
        <v>833</v>
      </c>
      <c r="B14" s="546">
        <v>1506178551</v>
      </c>
      <c r="E14" s="547" t="s">
        <v>834</v>
      </c>
      <c r="F14" s="548">
        <v>456336670</v>
      </c>
    </row>
    <row r="15" spans="1:6" ht="27.6" x14ac:dyDescent="0.25">
      <c r="A15" s="547" t="s">
        <v>834</v>
      </c>
      <c r="B15" s="548">
        <v>-1235838097</v>
      </c>
      <c r="E15" s="547" t="s">
        <v>835</v>
      </c>
      <c r="F15" s="548">
        <v>12158721</v>
      </c>
    </row>
    <row r="16" spans="1:6" ht="13.8" x14ac:dyDescent="0.25">
      <c r="A16" s="547" t="s">
        <v>835</v>
      </c>
      <c r="B16" s="548">
        <v>386200967</v>
      </c>
      <c r="E16" s="550" t="s">
        <v>836</v>
      </c>
      <c r="F16" s="551">
        <v>12158721</v>
      </c>
    </row>
    <row r="17" spans="1:7" ht="27.6" x14ac:dyDescent="0.25">
      <c r="A17" s="550" t="s">
        <v>836</v>
      </c>
      <c r="B17" s="551">
        <v>386200967</v>
      </c>
      <c r="E17" s="550" t="s">
        <v>837</v>
      </c>
      <c r="F17" s="551">
        <v>12158721</v>
      </c>
    </row>
    <row r="18" spans="1:7" ht="27.6" x14ac:dyDescent="0.25">
      <c r="A18" s="550" t="s">
        <v>837</v>
      </c>
      <c r="B18" s="551">
        <v>386200967</v>
      </c>
    </row>
    <row r="21" spans="1:7" ht="15.6" x14ac:dyDescent="0.25">
      <c r="A21" s="557" t="s">
        <v>247</v>
      </c>
      <c r="E21" s="831" t="s">
        <v>838</v>
      </c>
      <c r="F21" s="831"/>
      <c r="G21" s="831"/>
    </row>
    <row r="23" spans="1:7" ht="15.6" x14ac:dyDescent="0.25">
      <c r="A23" s="544" t="s">
        <v>110</v>
      </c>
      <c r="B23" s="544" t="s">
        <v>828</v>
      </c>
      <c r="E23" s="544" t="s">
        <v>110</v>
      </c>
      <c r="F23" s="544" t="s">
        <v>828</v>
      </c>
    </row>
    <row r="24" spans="1:7" ht="13.8" x14ac:dyDescent="0.25">
      <c r="A24" s="545" t="s">
        <v>829</v>
      </c>
      <c r="B24" s="546">
        <v>460554221</v>
      </c>
      <c r="E24" s="545" t="s">
        <v>829</v>
      </c>
      <c r="F24" s="546">
        <v>2140220953</v>
      </c>
    </row>
    <row r="25" spans="1:7" ht="13.8" x14ac:dyDescent="0.25">
      <c r="A25" s="545" t="s">
        <v>830</v>
      </c>
      <c r="B25" s="546">
        <v>1496466452</v>
      </c>
      <c r="E25" s="545" t="s">
        <v>830</v>
      </c>
      <c r="F25" s="546">
        <v>1998272069</v>
      </c>
    </row>
    <row r="26" spans="1:7" ht="27.6" x14ac:dyDescent="0.25">
      <c r="A26" s="547" t="s">
        <v>831</v>
      </c>
      <c r="B26" s="548">
        <v>-1035912231</v>
      </c>
      <c r="E26" s="547" t="s">
        <v>831</v>
      </c>
      <c r="F26" s="548">
        <v>141948884</v>
      </c>
    </row>
    <row r="27" spans="1:7" ht="13.8" x14ac:dyDescent="0.25">
      <c r="A27" s="545" t="s">
        <v>832</v>
      </c>
      <c r="B27" s="546">
        <v>1133937146</v>
      </c>
      <c r="E27" s="545" t="s">
        <v>832</v>
      </c>
      <c r="F27" s="546">
        <v>1860614270</v>
      </c>
    </row>
    <row r="28" spans="1:7" ht="27.6" x14ac:dyDescent="0.25">
      <c r="A28" s="547" t="s">
        <v>834</v>
      </c>
      <c r="B28" s="548">
        <v>1133937146</v>
      </c>
      <c r="E28" s="545" t="s">
        <v>833</v>
      </c>
      <c r="F28" s="546">
        <v>1506178551</v>
      </c>
    </row>
    <row r="29" spans="1:7" ht="27.6" x14ac:dyDescent="0.25">
      <c r="A29" s="547" t="s">
        <v>835</v>
      </c>
      <c r="B29" s="548">
        <v>98024915</v>
      </c>
      <c r="E29" s="547" t="s">
        <v>834</v>
      </c>
      <c r="F29" s="548">
        <v>354435719</v>
      </c>
    </row>
    <row r="30" spans="1:7" ht="13.8" x14ac:dyDescent="0.25">
      <c r="A30" s="550" t="s">
        <v>836</v>
      </c>
      <c r="B30" s="551">
        <v>98024915</v>
      </c>
      <c r="E30" s="547" t="s">
        <v>835</v>
      </c>
      <c r="F30" s="548">
        <v>496384603</v>
      </c>
    </row>
    <row r="31" spans="1:7" ht="27.6" x14ac:dyDescent="0.25">
      <c r="A31" s="550" t="s">
        <v>837</v>
      </c>
      <c r="B31" s="551">
        <v>98024915</v>
      </c>
      <c r="E31" s="550" t="s">
        <v>836</v>
      </c>
      <c r="F31" s="551">
        <v>496384603</v>
      </c>
    </row>
    <row r="32" spans="1:7" ht="27.6" x14ac:dyDescent="0.25">
      <c r="E32" s="550" t="s">
        <v>837</v>
      </c>
      <c r="F32" s="551">
        <v>496384603</v>
      </c>
    </row>
    <row r="34" spans="6:6" x14ac:dyDescent="0.25">
      <c r="F34" s="4"/>
    </row>
  </sheetData>
  <mergeCells count="5">
    <mergeCell ref="A1:F1"/>
    <mergeCell ref="A2:F2"/>
    <mergeCell ref="A3:F3"/>
    <mergeCell ref="A4:F4"/>
    <mergeCell ref="E21:G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919C-3D05-4FC1-8F00-51BFBD1B9F21}">
  <dimension ref="A1:U117"/>
  <sheetViews>
    <sheetView topLeftCell="A19" workbookViewId="0">
      <selection activeCell="F6" sqref="F6"/>
    </sheetView>
  </sheetViews>
  <sheetFormatPr defaultRowHeight="13.2" x14ac:dyDescent="0.25"/>
  <cols>
    <col min="1" max="1" width="41" customWidth="1"/>
    <col min="2" max="21" width="32.77734375" customWidth="1"/>
  </cols>
  <sheetData>
    <row r="1" spans="1:6" ht="14.4" x14ac:dyDescent="0.3">
      <c r="A1" s="830" t="s">
        <v>300</v>
      </c>
      <c r="B1" s="830"/>
      <c r="C1" s="830"/>
      <c r="D1" s="830"/>
      <c r="E1" s="830"/>
      <c r="F1" s="830"/>
    </row>
    <row r="2" spans="1:6" ht="14.4" x14ac:dyDescent="0.3">
      <c r="A2" s="830" t="s">
        <v>739</v>
      </c>
      <c r="B2" s="830"/>
      <c r="C2" s="830"/>
      <c r="D2" s="830"/>
      <c r="E2" s="830"/>
      <c r="F2" s="830"/>
    </row>
    <row r="3" spans="1:6" ht="14.4" x14ac:dyDescent="0.3">
      <c r="A3" s="830" t="s">
        <v>741</v>
      </c>
      <c r="B3" s="830"/>
      <c r="C3" s="830"/>
      <c r="D3" s="830"/>
      <c r="E3" s="830"/>
      <c r="F3" s="830"/>
    </row>
    <row r="4" spans="1:6" ht="14.4" x14ac:dyDescent="0.3">
      <c r="A4" s="830" t="s">
        <v>839</v>
      </c>
      <c r="B4" s="830"/>
      <c r="C4" s="830"/>
      <c r="D4" s="830"/>
      <c r="E4" s="830"/>
      <c r="F4" s="830"/>
    </row>
    <row r="6" spans="1:6" x14ac:dyDescent="0.25">
      <c r="F6" s="3" t="s">
        <v>208</v>
      </c>
    </row>
    <row r="7" spans="1:6" x14ac:dyDescent="0.25">
      <c r="A7" s="83" t="s">
        <v>253</v>
      </c>
    </row>
    <row r="9" spans="1:6" ht="62.4" x14ac:dyDescent="0.25">
      <c r="A9" s="544" t="s">
        <v>110</v>
      </c>
      <c r="B9" s="544" t="s">
        <v>38</v>
      </c>
      <c r="C9" s="544" t="s">
        <v>840</v>
      </c>
      <c r="D9" s="544" t="s">
        <v>295</v>
      </c>
      <c r="E9" s="544" t="s">
        <v>841</v>
      </c>
      <c r="F9" s="544" t="s">
        <v>842</v>
      </c>
    </row>
    <row r="10" spans="1:6" ht="27.6" x14ac:dyDescent="0.25">
      <c r="A10" s="545" t="s">
        <v>843</v>
      </c>
      <c r="B10" s="546">
        <v>1619013725</v>
      </c>
      <c r="C10" s="546">
        <v>0</v>
      </c>
      <c r="D10" s="546">
        <v>1619013725</v>
      </c>
      <c r="E10" s="546">
        <v>0</v>
      </c>
      <c r="F10" s="546">
        <v>0</v>
      </c>
    </row>
    <row r="11" spans="1:6" ht="13.8" x14ac:dyDescent="0.25">
      <c r="A11" s="545" t="s">
        <v>844</v>
      </c>
      <c r="B11" s="546">
        <v>6404000</v>
      </c>
      <c r="C11" s="546">
        <v>0</v>
      </c>
      <c r="D11" s="546">
        <v>6404000</v>
      </c>
      <c r="E11" s="546">
        <v>0</v>
      </c>
      <c r="F11" s="546">
        <v>0</v>
      </c>
    </row>
    <row r="12" spans="1:6" ht="27.6" x14ac:dyDescent="0.25">
      <c r="A12" s="545" t="s">
        <v>845</v>
      </c>
      <c r="B12" s="546">
        <v>1612609725</v>
      </c>
      <c r="C12" s="546">
        <v>0</v>
      </c>
      <c r="D12" s="546">
        <v>1612609725</v>
      </c>
      <c r="E12" s="546">
        <v>0</v>
      </c>
      <c r="F12" s="546">
        <v>0</v>
      </c>
    </row>
    <row r="13" spans="1:6" ht="27.6" x14ac:dyDescent="0.25">
      <c r="A13" s="547" t="s">
        <v>846</v>
      </c>
      <c r="B13" s="548">
        <v>1619013725</v>
      </c>
      <c r="C13" s="548">
        <v>0</v>
      </c>
      <c r="D13" s="548">
        <v>1619013725</v>
      </c>
      <c r="E13" s="548">
        <v>0</v>
      </c>
      <c r="F13" s="548">
        <v>0</v>
      </c>
    </row>
    <row r="14" spans="1:6" ht="27.6" x14ac:dyDescent="0.25">
      <c r="A14" s="545" t="s">
        <v>847</v>
      </c>
      <c r="B14" s="546">
        <v>36658738</v>
      </c>
      <c r="C14" s="546">
        <v>0</v>
      </c>
      <c r="D14" s="546">
        <v>36658738</v>
      </c>
      <c r="E14" s="546">
        <v>0</v>
      </c>
      <c r="F14" s="546">
        <v>0</v>
      </c>
    </row>
    <row r="15" spans="1:6" ht="27.6" x14ac:dyDescent="0.25">
      <c r="A15" s="545" t="s">
        <v>848</v>
      </c>
      <c r="B15" s="546">
        <v>36658738</v>
      </c>
      <c r="C15" s="546">
        <v>0</v>
      </c>
      <c r="D15" s="546">
        <v>36658738</v>
      </c>
      <c r="E15" s="546">
        <v>0</v>
      </c>
      <c r="F15" s="546">
        <v>0</v>
      </c>
    </row>
    <row r="16" spans="1:6" ht="27.6" x14ac:dyDescent="0.25">
      <c r="A16" s="547" t="s">
        <v>849</v>
      </c>
      <c r="B16" s="548">
        <v>36658738</v>
      </c>
      <c r="C16" s="548">
        <v>0</v>
      </c>
      <c r="D16" s="548">
        <v>36658738</v>
      </c>
      <c r="E16" s="548">
        <v>0</v>
      </c>
      <c r="F16" s="548">
        <v>0</v>
      </c>
    </row>
    <row r="17" spans="1:6" ht="27.6" x14ac:dyDescent="0.25">
      <c r="A17" s="545" t="s">
        <v>850</v>
      </c>
      <c r="B17" s="546">
        <v>214000</v>
      </c>
      <c r="C17" s="546">
        <v>214000</v>
      </c>
      <c r="D17" s="546">
        <v>0</v>
      </c>
      <c r="E17" s="546">
        <v>0</v>
      </c>
      <c r="F17" s="546">
        <v>0</v>
      </c>
    </row>
    <row r="18" spans="1:6" ht="13.8" x14ac:dyDescent="0.25">
      <c r="A18" s="545" t="s">
        <v>851</v>
      </c>
      <c r="B18" s="546">
        <v>214000</v>
      </c>
      <c r="C18" s="546">
        <v>214000</v>
      </c>
      <c r="D18" s="546">
        <v>0</v>
      </c>
      <c r="E18" s="546">
        <v>0</v>
      </c>
      <c r="F18" s="546">
        <v>0</v>
      </c>
    </row>
    <row r="19" spans="1:6" ht="13.8" x14ac:dyDescent="0.25">
      <c r="A19" s="545" t="s">
        <v>852</v>
      </c>
      <c r="B19" s="546">
        <v>6284924</v>
      </c>
      <c r="C19" s="546">
        <v>0</v>
      </c>
      <c r="D19" s="546">
        <v>0</v>
      </c>
      <c r="E19" s="546">
        <v>6284924</v>
      </c>
      <c r="F19" s="546">
        <v>0</v>
      </c>
    </row>
    <row r="20" spans="1:6" ht="13.8" x14ac:dyDescent="0.25">
      <c r="A20" s="545" t="s">
        <v>853</v>
      </c>
      <c r="B20" s="546">
        <v>5940</v>
      </c>
      <c r="C20" s="546">
        <v>5940</v>
      </c>
      <c r="D20" s="546">
        <v>0</v>
      </c>
      <c r="E20" s="546">
        <v>0</v>
      </c>
      <c r="F20" s="546">
        <v>0</v>
      </c>
    </row>
    <row r="21" spans="1:6" ht="27.6" x14ac:dyDescent="0.25">
      <c r="A21" s="545" t="s">
        <v>854</v>
      </c>
      <c r="B21" s="546">
        <v>7427972</v>
      </c>
      <c r="C21" s="546">
        <v>7427972</v>
      </c>
      <c r="D21" s="546">
        <v>0</v>
      </c>
      <c r="E21" s="546">
        <v>0</v>
      </c>
      <c r="F21" s="546">
        <v>0</v>
      </c>
    </row>
    <row r="22" spans="1:6" ht="27.6" x14ac:dyDescent="0.25">
      <c r="A22" s="545" t="s">
        <v>855</v>
      </c>
      <c r="B22" s="546">
        <v>7427972</v>
      </c>
      <c r="C22" s="546">
        <v>7427972</v>
      </c>
      <c r="D22" s="546">
        <v>0</v>
      </c>
      <c r="E22" s="546">
        <v>0</v>
      </c>
      <c r="F22" s="546">
        <v>0</v>
      </c>
    </row>
    <row r="23" spans="1:6" ht="13.8" x14ac:dyDescent="0.25">
      <c r="A23" s="545" t="s">
        <v>856</v>
      </c>
      <c r="B23" s="546">
        <v>1885</v>
      </c>
      <c r="C23" s="546">
        <v>1885</v>
      </c>
      <c r="D23" s="546">
        <v>0</v>
      </c>
      <c r="E23" s="546">
        <v>0</v>
      </c>
      <c r="F23" s="546">
        <v>0</v>
      </c>
    </row>
    <row r="24" spans="1:6" ht="41.4" x14ac:dyDescent="0.25">
      <c r="A24" s="547" t="s">
        <v>857</v>
      </c>
      <c r="B24" s="548">
        <v>13934721</v>
      </c>
      <c r="C24" s="548">
        <v>7649797</v>
      </c>
      <c r="D24" s="548">
        <v>0</v>
      </c>
      <c r="E24" s="548">
        <v>6284924</v>
      </c>
      <c r="F24" s="548">
        <v>0</v>
      </c>
    </row>
    <row r="25" spans="1:6" ht="27.6" x14ac:dyDescent="0.25">
      <c r="A25" s="547" t="s">
        <v>858</v>
      </c>
      <c r="B25" s="548">
        <v>1669607184</v>
      </c>
      <c r="C25" s="548">
        <v>7649797</v>
      </c>
      <c r="D25" s="548">
        <v>1655672463</v>
      </c>
      <c r="E25" s="548">
        <v>6284924</v>
      </c>
      <c r="F25" s="548">
        <v>0</v>
      </c>
    </row>
    <row r="26" spans="1:6" ht="27.6" x14ac:dyDescent="0.25">
      <c r="A26" s="545" t="s">
        <v>859</v>
      </c>
      <c r="B26" s="546">
        <v>270340454</v>
      </c>
      <c r="C26" s="546">
        <v>0</v>
      </c>
      <c r="D26" s="546">
        <v>270340454</v>
      </c>
      <c r="E26" s="546">
        <v>0</v>
      </c>
      <c r="F26" s="546">
        <v>0</v>
      </c>
    </row>
    <row r="27" spans="1:6" ht="13.8" x14ac:dyDescent="0.25">
      <c r="A27" s="545" t="s">
        <v>860</v>
      </c>
      <c r="B27" s="546">
        <v>270340454</v>
      </c>
      <c r="C27" s="546">
        <v>0</v>
      </c>
      <c r="D27" s="546">
        <v>270340454</v>
      </c>
      <c r="E27" s="546">
        <v>0</v>
      </c>
      <c r="F27" s="546">
        <v>0</v>
      </c>
    </row>
    <row r="28" spans="1:6" ht="27.6" x14ac:dyDescent="0.25">
      <c r="A28" s="545" t="s">
        <v>861</v>
      </c>
      <c r="B28" s="546">
        <v>270340454</v>
      </c>
      <c r="C28" s="546">
        <v>0</v>
      </c>
      <c r="D28" s="546">
        <v>270340454</v>
      </c>
      <c r="E28" s="546">
        <v>0</v>
      </c>
      <c r="F28" s="546">
        <v>0</v>
      </c>
    </row>
    <row r="29" spans="1:6" ht="27.6" x14ac:dyDescent="0.25">
      <c r="A29" s="547" t="s">
        <v>862</v>
      </c>
      <c r="B29" s="548">
        <v>270340454</v>
      </c>
      <c r="C29" s="548">
        <v>0</v>
      </c>
      <c r="D29" s="548">
        <v>270340454</v>
      </c>
      <c r="E29" s="548">
        <v>0</v>
      </c>
      <c r="F29" s="548">
        <v>0</v>
      </c>
    </row>
    <row r="30" spans="1:6" ht="13.8" x14ac:dyDescent="0.25">
      <c r="A30" s="550" t="s">
        <v>863</v>
      </c>
      <c r="B30" s="551">
        <v>1939947638</v>
      </c>
      <c r="C30" s="551">
        <v>7649797</v>
      </c>
      <c r="D30" s="551">
        <v>1926012917</v>
      </c>
      <c r="E30" s="551">
        <v>6284924</v>
      </c>
      <c r="F30" s="551">
        <v>0</v>
      </c>
    </row>
    <row r="33" spans="1:7" x14ac:dyDescent="0.25">
      <c r="A33" s="83" t="s">
        <v>775</v>
      </c>
    </row>
    <row r="35" spans="1:7" ht="46.8" x14ac:dyDescent="0.25">
      <c r="A35" s="544" t="s">
        <v>110</v>
      </c>
      <c r="B35" s="544" t="s">
        <v>38</v>
      </c>
      <c r="C35" s="544" t="s">
        <v>295</v>
      </c>
      <c r="D35" s="544" t="s">
        <v>864</v>
      </c>
      <c r="E35" s="544" t="s">
        <v>865</v>
      </c>
      <c r="F35" s="544" t="s">
        <v>866</v>
      </c>
      <c r="G35" s="544" t="s">
        <v>842</v>
      </c>
    </row>
    <row r="36" spans="1:7" ht="27.6" x14ac:dyDescent="0.25">
      <c r="A36" s="545" t="s">
        <v>843</v>
      </c>
      <c r="B36" s="546">
        <v>4973400</v>
      </c>
      <c r="C36" s="546">
        <v>1000000</v>
      </c>
      <c r="D36" s="546">
        <v>0</v>
      </c>
      <c r="E36" s="546">
        <v>3173400</v>
      </c>
      <c r="F36" s="546">
        <v>800000</v>
      </c>
      <c r="G36" s="546">
        <v>0</v>
      </c>
    </row>
    <row r="37" spans="1:7" ht="13.8" x14ac:dyDescent="0.25">
      <c r="A37" s="545" t="s">
        <v>844</v>
      </c>
      <c r="B37" s="546">
        <v>3173400</v>
      </c>
      <c r="C37" s="546">
        <v>0</v>
      </c>
      <c r="D37" s="546">
        <v>0</v>
      </c>
      <c r="E37" s="546">
        <v>3173400</v>
      </c>
      <c r="F37" s="546">
        <v>0</v>
      </c>
      <c r="G37" s="546">
        <v>0</v>
      </c>
    </row>
    <row r="38" spans="1:7" ht="27.6" x14ac:dyDescent="0.25">
      <c r="A38" s="545" t="s">
        <v>845</v>
      </c>
      <c r="B38" s="546">
        <v>1800000</v>
      </c>
      <c r="C38" s="546">
        <v>1000000</v>
      </c>
      <c r="D38" s="546">
        <v>0</v>
      </c>
      <c r="E38" s="546">
        <v>0</v>
      </c>
      <c r="F38" s="546">
        <v>800000</v>
      </c>
      <c r="G38" s="546">
        <v>0</v>
      </c>
    </row>
    <row r="39" spans="1:7" ht="27.6" x14ac:dyDescent="0.25">
      <c r="A39" s="547" t="s">
        <v>846</v>
      </c>
      <c r="B39" s="548">
        <v>4973400</v>
      </c>
      <c r="C39" s="548">
        <v>1000000</v>
      </c>
      <c r="D39" s="548">
        <v>0</v>
      </c>
      <c r="E39" s="548">
        <v>3173400</v>
      </c>
      <c r="F39" s="548">
        <v>800000</v>
      </c>
      <c r="G39" s="548">
        <v>0</v>
      </c>
    </row>
    <row r="40" spans="1:7" ht="27.6" x14ac:dyDescent="0.25">
      <c r="A40" s="545" t="s">
        <v>850</v>
      </c>
      <c r="B40" s="546">
        <v>4016</v>
      </c>
      <c r="C40" s="546">
        <v>0</v>
      </c>
      <c r="D40" s="546">
        <v>0</v>
      </c>
      <c r="E40" s="546">
        <v>0</v>
      </c>
      <c r="F40" s="546">
        <v>4016</v>
      </c>
      <c r="G40" s="546">
        <v>0</v>
      </c>
    </row>
    <row r="41" spans="1:7" ht="13.8" x14ac:dyDescent="0.25">
      <c r="A41" s="545" t="s">
        <v>852</v>
      </c>
      <c r="B41" s="546">
        <v>1293400</v>
      </c>
      <c r="C41" s="546">
        <v>0</v>
      </c>
      <c r="D41" s="546">
        <v>1293400</v>
      </c>
      <c r="E41" s="546">
        <v>0</v>
      </c>
      <c r="F41" s="546">
        <v>0</v>
      </c>
      <c r="G41" s="546">
        <v>0</v>
      </c>
    </row>
    <row r="42" spans="1:7" ht="13.8" x14ac:dyDescent="0.25">
      <c r="A42" s="545" t="s">
        <v>856</v>
      </c>
      <c r="B42" s="546">
        <v>2608732</v>
      </c>
      <c r="C42" s="546">
        <v>0</v>
      </c>
      <c r="D42" s="546">
        <v>64786</v>
      </c>
      <c r="E42" s="546">
        <v>34720</v>
      </c>
      <c r="F42" s="546">
        <v>2509226</v>
      </c>
      <c r="G42" s="546">
        <v>0</v>
      </c>
    </row>
    <row r="43" spans="1:7" ht="41.4" x14ac:dyDescent="0.25">
      <c r="A43" s="547" t="s">
        <v>857</v>
      </c>
      <c r="B43" s="548">
        <v>3906148</v>
      </c>
      <c r="C43" s="548">
        <v>0</v>
      </c>
      <c r="D43" s="548">
        <v>1358186</v>
      </c>
      <c r="E43" s="548">
        <v>34720</v>
      </c>
      <c r="F43" s="548">
        <v>2513242</v>
      </c>
      <c r="G43" s="548">
        <v>0</v>
      </c>
    </row>
    <row r="44" spans="1:7" ht="27.6" x14ac:dyDescent="0.25">
      <c r="A44" s="545" t="s">
        <v>867</v>
      </c>
      <c r="B44" s="546">
        <v>1180000</v>
      </c>
      <c r="C44" s="546">
        <v>0</v>
      </c>
      <c r="D44" s="546">
        <v>0</v>
      </c>
      <c r="E44" s="546">
        <v>0</v>
      </c>
      <c r="F44" s="546">
        <v>1180000</v>
      </c>
      <c r="G44" s="546">
        <v>0</v>
      </c>
    </row>
    <row r="45" spans="1:7" ht="13.8" x14ac:dyDescent="0.25">
      <c r="A45" s="545" t="s">
        <v>868</v>
      </c>
      <c r="B45" s="546">
        <v>1180000</v>
      </c>
      <c r="C45" s="546">
        <v>0</v>
      </c>
      <c r="D45" s="546">
        <v>0</v>
      </c>
      <c r="E45" s="546">
        <v>0</v>
      </c>
      <c r="F45" s="546">
        <v>1180000</v>
      </c>
      <c r="G45" s="546">
        <v>0</v>
      </c>
    </row>
    <row r="46" spans="1:7" ht="27.6" x14ac:dyDescent="0.25">
      <c r="A46" s="547" t="s">
        <v>869</v>
      </c>
      <c r="B46" s="548">
        <v>1180000</v>
      </c>
      <c r="C46" s="548">
        <v>0</v>
      </c>
      <c r="D46" s="548">
        <v>0</v>
      </c>
      <c r="E46" s="548">
        <v>0</v>
      </c>
      <c r="F46" s="548">
        <v>1180000</v>
      </c>
      <c r="G46" s="548">
        <v>0</v>
      </c>
    </row>
    <row r="47" spans="1:7" ht="27.6" x14ac:dyDescent="0.25">
      <c r="A47" s="547" t="s">
        <v>858</v>
      </c>
      <c r="B47" s="548">
        <v>10059548</v>
      </c>
      <c r="C47" s="548">
        <v>1000000</v>
      </c>
      <c r="D47" s="548">
        <v>1358186</v>
      </c>
      <c r="E47" s="548">
        <v>3208120</v>
      </c>
      <c r="F47" s="548">
        <v>4493242</v>
      </c>
      <c r="G47" s="548">
        <v>0</v>
      </c>
    </row>
    <row r="48" spans="1:7" ht="27.6" x14ac:dyDescent="0.25">
      <c r="A48" s="545" t="s">
        <v>859</v>
      </c>
      <c r="B48" s="546">
        <v>11443047</v>
      </c>
      <c r="C48" s="546">
        <v>11443047</v>
      </c>
      <c r="D48" s="546">
        <v>0</v>
      </c>
      <c r="E48" s="546">
        <v>0</v>
      </c>
      <c r="F48" s="546">
        <v>0</v>
      </c>
      <c r="G48" s="546">
        <v>0</v>
      </c>
    </row>
    <row r="49" spans="1:17" ht="13.8" x14ac:dyDescent="0.25">
      <c r="A49" s="545" t="s">
        <v>860</v>
      </c>
      <c r="B49" s="546">
        <v>11443047</v>
      </c>
      <c r="C49" s="546">
        <v>11443047</v>
      </c>
      <c r="D49" s="546">
        <v>0</v>
      </c>
      <c r="E49" s="546">
        <v>0</v>
      </c>
      <c r="F49" s="546">
        <v>0</v>
      </c>
      <c r="G49" s="546">
        <v>0</v>
      </c>
    </row>
    <row r="50" spans="1:17" ht="13.8" x14ac:dyDescent="0.25">
      <c r="A50" s="545" t="s">
        <v>870</v>
      </c>
      <c r="B50" s="546">
        <v>444893623</v>
      </c>
      <c r="C50" s="546">
        <v>444893623</v>
      </c>
      <c r="D50" s="546">
        <v>0</v>
      </c>
      <c r="E50" s="546">
        <v>0</v>
      </c>
      <c r="F50" s="546">
        <v>0</v>
      </c>
      <c r="G50" s="546">
        <v>0</v>
      </c>
    </row>
    <row r="51" spans="1:17" ht="27.6" x14ac:dyDescent="0.25">
      <c r="A51" s="545" t="s">
        <v>861</v>
      </c>
      <c r="B51" s="546">
        <v>456336670</v>
      </c>
      <c r="C51" s="546">
        <v>456336670</v>
      </c>
      <c r="D51" s="546">
        <v>0</v>
      </c>
      <c r="E51" s="546">
        <v>0</v>
      </c>
      <c r="F51" s="546">
        <v>0</v>
      </c>
      <c r="G51" s="546">
        <v>0</v>
      </c>
    </row>
    <row r="52" spans="1:17" ht="27.6" x14ac:dyDescent="0.25">
      <c r="A52" s="547" t="s">
        <v>862</v>
      </c>
      <c r="B52" s="548">
        <v>456336670</v>
      </c>
      <c r="C52" s="548">
        <v>456336670</v>
      </c>
      <c r="D52" s="548">
        <v>0</v>
      </c>
      <c r="E52" s="548">
        <v>0</v>
      </c>
      <c r="F52" s="548">
        <v>0</v>
      </c>
      <c r="G52" s="548">
        <v>0</v>
      </c>
    </row>
    <row r="53" spans="1:17" ht="13.8" x14ac:dyDescent="0.25">
      <c r="A53" s="550" t="s">
        <v>863</v>
      </c>
      <c r="B53" s="551">
        <v>466396218</v>
      </c>
      <c r="C53" s="551">
        <v>457336670</v>
      </c>
      <c r="D53" s="551">
        <v>1358186</v>
      </c>
      <c r="E53" s="551">
        <v>3208120</v>
      </c>
      <c r="F53" s="551">
        <v>4493242</v>
      </c>
      <c r="G53" s="551">
        <v>0</v>
      </c>
    </row>
    <row r="56" spans="1:17" x14ac:dyDescent="0.25">
      <c r="A56" s="83" t="s">
        <v>247</v>
      </c>
    </row>
    <row r="58" spans="1:17" ht="46.8" x14ac:dyDescent="0.25">
      <c r="A58" s="544" t="s">
        <v>110</v>
      </c>
      <c r="B58" s="544" t="s">
        <v>38</v>
      </c>
      <c r="C58" s="544" t="s">
        <v>295</v>
      </c>
      <c r="D58" s="544" t="s">
        <v>871</v>
      </c>
      <c r="E58" s="544" t="s">
        <v>872</v>
      </c>
      <c r="F58" s="544" t="s">
        <v>841</v>
      </c>
      <c r="G58" s="544" t="s">
        <v>873</v>
      </c>
      <c r="H58" s="544" t="s">
        <v>874</v>
      </c>
      <c r="I58" s="544" t="s">
        <v>875</v>
      </c>
      <c r="J58" s="544" t="s">
        <v>296</v>
      </c>
      <c r="K58" s="544" t="s">
        <v>876</v>
      </c>
      <c r="L58" s="544" t="s">
        <v>877</v>
      </c>
      <c r="M58" s="544" t="s">
        <v>878</v>
      </c>
      <c r="N58" s="544" t="s">
        <v>879</v>
      </c>
      <c r="O58" s="544" t="s">
        <v>880</v>
      </c>
      <c r="P58" s="544" t="s">
        <v>881</v>
      </c>
      <c r="Q58" s="544" t="s">
        <v>842</v>
      </c>
    </row>
    <row r="59" spans="1:17" ht="27.6" x14ac:dyDescent="0.25">
      <c r="A59" s="545" t="s">
        <v>843</v>
      </c>
      <c r="B59" s="546">
        <v>1886517</v>
      </c>
      <c r="C59" s="546">
        <v>1500000</v>
      </c>
      <c r="D59" s="546">
        <v>271517</v>
      </c>
      <c r="E59" s="546">
        <v>0</v>
      </c>
      <c r="F59" s="546">
        <v>115000</v>
      </c>
      <c r="G59" s="546">
        <v>0</v>
      </c>
      <c r="H59" s="546">
        <v>0</v>
      </c>
      <c r="I59" s="546">
        <v>0</v>
      </c>
      <c r="J59" s="546">
        <v>0</v>
      </c>
      <c r="K59" s="546">
        <v>0</v>
      </c>
      <c r="L59" s="546">
        <v>0</v>
      </c>
      <c r="M59" s="546">
        <v>0</v>
      </c>
      <c r="N59" s="546">
        <v>0</v>
      </c>
      <c r="O59" s="546">
        <v>0</v>
      </c>
      <c r="P59" s="546">
        <v>0</v>
      </c>
      <c r="Q59" s="546">
        <v>0</v>
      </c>
    </row>
    <row r="60" spans="1:17" ht="13.8" x14ac:dyDescent="0.25">
      <c r="A60" s="545" t="s">
        <v>882</v>
      </c>
      <c r="B60" s="546">
        <v>271517</v>
      </c>
      <c r="C60" s="546">
        <v>0</v>
      </c>
      <c r="D60" s="546">
        <v>271517</v>
      </c>
      <c r="E60" s="546">
        <v>0</v>
      </c>
      <c r="F60" s="546">
        <v>0</v>
      </c>
      <c r="G60" s="546">
        <v>0</v>
      </c>
      <c r="H60" s="546">
        <v>0</v>
      </c>
      <c r="I60" s="546">
        <v>0</v>
      </c>
      <c r="J60" s="546">
        <v>0</v>
      </c>
      <c r="K60" s="546">
        <v>0</v>
      </c>
      <c r="L60" s="546">
        <v>0</v>
      </c>
      <c r="M60" s="546">
        <v>0</v>
      </c>
      <c r="N60" s="546">
        <v>0</v>
      </c>
      <c r="O60" s="546">
        <v>0</v>
      </c>
      <c r="P60" s="546">
        <v>0</v>
      </c>
      <c r="Q60" s="546">
        <v>0</v>
      </c>
    </row>
    <row r="61" spans="1:17" ht="27.6" x14ac:dyDescent="0.25">
      <c r="A61" s="545" t="s">
        <v>845</v>
      </c>
      <c r="B61" s="546">
        <v>1615000</v>
      </c>
      <c r="C61" s="546">
        <v>1500000</v>
      </c>
      <c r="D61" s="546">
        <v>0</v>
      </c>
      <c r="E61" s="546">
        <v>0</v>
      </c>
      <c r="F61" s="546">
        <v>115000</v>
      </c>
      <c r="G61" s="546">
        <v>0</v>
      </c>
      <c r="H61" s="546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6">
        <v>0</v>
      </c>
      <c r="O61" s="546">
        <v>0</v>
      </c>
      <c r="P61" s="546">
        <v>0</v>
      </c>
      <c r="Q61" s="546">
        <v>0</v>
      </c>
    </row>
    <row r="62" spans="1:17" ht="27.6" x14ac:dyDescent="0.25">
      <c r="A62" s="547" t="s">
        <v>846</v>
      </c>
      <c r="B62" s="548">
        <v>1886517</v>
      </c>
      <c r="C62" s="548">
        <v>1500000</v>
      </c>
      <c r="D62" s="548">
        <v>271517</v>
      </c>
      <c r="E62" s="548">
        <v>0</v>
      </c>
      <c r="F62" s="548">
        <v>115000</v>
      </c>
      <c r="G62" s="548">
        <v>0</v>
      </c>
      <c r="H62" s="548">
        <v>0</v>
      </c>
      <c r="I62" s="548">
        <v>0</v>
      </c>
      <c r="J62" s="548">
        <v>0</v>
      </c>
      <c r="K62" s="548">
        <v>0</v>
      </c>
      <c r="L62" s="548">
        <v>0</v>
      </c>
      <c r="M62" s="548">
        <v>0</v>
      </c>
      <c r="N62" s="548">
        <v>0</v>
      </c>
      <c r="O62" s="548">
        <v>0</v>
      </c>
      <c r="P62" s="548">
        <v>0</v>
      </c>
      <c r="Q62" s="548">
        <v>0</v>
      </c>
    </row>
    <row r="63" spans="1:17" ht="13.8" x14ac:dyDescent="0.25">
      <c r="A63" s="545" t="s">
        <v>883</v>
      </c>
      <c r="B63" s="546">
        <v>1125437</v>
      </c>
      <c r="C63" s="546">
        <v>0</v>
      </c>
      <c r="D63" s="546">
        <v>0</v>
      </c>
      <c r="E63" s="546">
        <v>0</v>
      </c>
      <c r="F63" s="546">
        <v>0</v>
      </c>
      <c r="G63" s="546">
        <v>0</v>
      </c>
      <c r="H63" s="546">
        <v>0</v>
      </c>
      <c r="I63" s="546">
        <v>0</v>
      </c>
      <c r="J63" s="546">
        <v>0</v>
      </c>
      <c r="K63" s="546">
        <v>0</v>
      </c>
      <c r="L63" s="546">
        <v>0</v>
      </c>
      <c r="M63" s="546">
        <v>1125437</v>
      </c>
      <c r="N63" s="546">
        <v>0</v>
      </c>
      <c r="O63" s="546">
        <v>0</v>
      </c>
      <c r="P63" s="546">
        <v>0</v>
      </c>
      <c r="Q63" s="546">
        <v>0</v>
      </c>
    </row>
    <row r="64" spans="1:17" ht="13.8" x14ac:dyDescent="0.25">
      <c r="A64" s="545" t="s">
        <v>884</v>
      </c>
      <c r="B64" s="546">
        <v>24583272</v>
      </c>
      <c r="C64" s="546">
        <v>0</v>
      </c>
      <c r="D64" s="546">
        <v>0</v>
      </c>
      <c r="E64" s="546">
        <v>0</v>
      </c>
      <c r="F64" s="546">
        <v>5614326</v>
      </c>
      <c r="G64" s="546">
        <v>0</v>
      </c>
      <c r="H64" s="546">
        <v>410600</v>
      </c>
      <c r="I64" s="546">
        <v>0</v>
      </c>
      <c r="J64" s="546">
        <v>18479212</v>
      </c>
      <c r="K64" s="546">
        <v>0</v>
      </c>
      <c r="L64" s="546">
        <v>0</v>
      </c>
      <c r="M64" s="546">
        <v>79134</v>
      </c>
      <c r="N64" s="546">
        <v>0</v>
      </c>
      <c r="O64" s="546">
        <v>0</v>
      </c>
      <c r="P64" s="546">
        <v>0</v>
      </c>
      <c r="Q64" s="546">
        <v>0</v>
      </c>
    </row>
    <row r="65" spans="1:17" ht="27.6" x14ac:dyDescent="0.25">
      <c r="A65" s="545" t="s">
        <v>850</v>
      </c>
      <c r="B65" s="546">
        <v>1550115</v>
      </c>
      <c r="C65" s="546">
        <v>0</v>
      </c>
      <c r="D65" s="546">
        <v>0</v>
      </c>
      <c r="E65" s="546">
        <v>0</v>
      </c>
      <c r="F65" s="546">
        <v>1530115</v>
      </c>
      <c r="G65" s="546">
        <v>0</v>
      </c>
      <c r="H65" s="546">
        <v>0</v>
      </c>
      <c r="I65" s="546">
        <v>0</v>
      </c>
      <c r="J65" s="546">
        <v>0</v>
      </c>
      <c r="K65" s="546">
        <v>0</v>
      </c>
      <c r="L65" s="546">
        <v>0</v>
      </c>
      <c r="M65" s="546">
        <v>0</v>
      </c>
      <c r="N65" s="546">
        <v>0</v>
      </c>
      <c r="O65" s="546">
        <v>0</v>
      </c>
      <c r="P65" s="546">
        <v>20000</v>
      </c>
      <c r="Q65" s="546">
        <v>0</v>
      </c>
    </row>
    <row r="66" spans="1:17" ht="13.8" x14ac:dyDescent="0.25">
      <c r="A66" s="545" t="s">
        <v>851</v>
      </c>
      <c r="B66" s="546">
        <v>1550115</v>
      </c>
      <c r="C66" s="546">
        <v>0</v>
      </c>
      <c r="D66" s="546">
        <v>0</v>
      </c>
      <c r="E66" s="546">
        <v>0</v>
      </c>
      <c r="F66" s="546">
        <v>1530115</v>
      </c>
      <c r="G66" s="546">
        <v>0</v>
      </c>
      <c r="H66" s="546">
        <v>0</v>
      </c>
      <c r="I66" s="546">
        <v>0</v>
      </c>
      <c r="J66" s="546">
        <v>0</v>
      </c>
      <c r="K66" s="546">
        <v>0</v>
      </c>
      <c r="L66" s="546">
        <v>0</v>
      </c>
      <c r="M66" s="546">
        <v>0</v>
      </c>
      <c r="N66" s="546">
        <v>0</v>
      </c>
      <c r="O66" s="546">
        <v>0</v>
      </c>
      <c r="P66" s="546">
        <v>20000</v>
      </c>
      <c r="Q66" s="546">
        <v>0</v>
      </c>
    </row>
    <row r="67" spans="1:17" ht="13.8" x14ac:dyDescent="0.25">
      <c r="A67" s="545" t="s">
        <v>852</v>
      </c>
      <c r="B67" s="546">
        <v>388260250</v>
      </c>
      <c r="C67" s="546">
        <v>0</v>
      </c>
      <c r="D67" s="546">
        <v>0</v>
      </c>
      <c r="E67" s="546">
        <v>5693700</v>
      </c>
      <c r="F67" s="546">
        <v>116374590</v>
      </c>
      <c r="G67" s="546">
        <v>66737080</v>
      </c>
      <c r="H67" s="546">
        <v>33533420</v>
      </c>
      <c r="I67" s="546">
        <v>29405680</v>
      </c>
      <c r="J67" s="546">
        <v>3406659</v>
      </c>
      <c r="K67" s="546">
        <v>13665309</v>
      </c>
      <c r="L67" s="546">
        <v>10038720</v>
      </c>
      <c r="M67" s="546">
        <v>0</v>
      </c>
      <c r="N67" s="546">
        <v>68339629</v>
      </c>
      <c r="O67" s="546">
        <v>32719070</v>
      </c>
      <c r="P67" s="546">
        <v>8346393</v>
      </c>
      <c r="Q67" s="546">
        <v>0</v>
      </c>
    </row>
    <row r="68" spans="1:17" ht="13.8" x14ac:dyDescent="0.25">
      <c r="A68" s="545" t="s">
        <v>853</v>
      </c>
      <c r="B68" s="546">
        <v>19689370</v>
      </c>
      <c r="C68" s="546">
        <v>0</v>
      </c>
      <c r="D68" s="546">
        <v>0</v>
      </c>
      <c r="E68" s="546">
        <v>781</v>
      </c>
      <c r="F68" s="546">
        <v>489234</v>
      </c>
      <c r="G68" s="546">
        <v>0</v>
      </c>
      <c r="H68" s="546">
        <v>4100</v>
      </c>
      <c r="I68" s="546">
        <v>0</v>
      </c>
      <c r="J68" s="546">
        <v>81302</v>
      </c>
      <c r="K68" s="546">
        <v>319812</v>
      </c>
      <c r="L68" s="546">
        <v>0</v>
      </c>
      <c r="M68" s="546">
        <v>325696</v>
      </c>
      <c r="N68" s="546">
        <v>18451305</v>
      </c>
      <c r="O68" s="546">
        <v>11740</v>
      </c>
      <c r="P68" s="546">
        <v>5400</v>
      </c>
      <c r="Q68" s="546">
        <v>0</v>
      </c>
    </row>
    <row r="69" spans="1:17" ht="13.8" x14ac:dyDescent="0.25">
      <c r="A69" s="545" t="s">
        <v>885</v>
      </c>
      <c r="B69" s="546">
        <v>10170000</v>
      </c>
      <c r="C69" s="546">
        <v>0</v>
      </c>
      <c r="D69" s="546">
        <v>0</v>
      </c>
      <c r="E69" s="546">
        <v>0</v>
      </c>
      <c r="F69" s="546">
        <v>0</v>
      </c>
      <c r="G69" s="546">
        <v>0</v>
      </c>
      <c r="H69" s="546">
        <v>0</v>
      </c>
      <c r="I69" s="546">
        <v>0</v>
      </c>
      <c r="J69" s="546">
        <v>0</v>
      </c>
      <c r="K69" s="546">
        <v>0</v>
      </c>
      <c r="L69" s="546">
        <v>0</v>
      </c>
      <c r="M69" s="546">
        <v>0</v>
      </c>
      <c r="N69" s="546">
        <v>10170000</v>
      </c>
      <c r="O69" s="546">
        <v>0</v>
      </c>
      <c r="P69" s="546">
        <v>0</v>
      </c>
      <c r="Q69" s="546">
        <v>0</v>
      </c>
    </row>
    <row r="70" spans="1:17" ht="13.8" x14ac:dyDescent="0.25">
      <c r="A70" s="545" t="s">
        <v>856</v>
      </c>
      <c r="B70" s="546">
        <v>7969067</v>
      </c>
      <c r="C70" s="546">
        <v>0</v>
      </c>
      <c r="D70" s="546">
        <v>0</v>
      </c>
      <c r="E70" s="546">
        <v>108179</v>
      </c>
      <c r="F70" s="546">
        <v>2306049</v>
      </c>
      <c r="G70" s="546">
        <v>0</v>
      </c>
      <c r="H70" s="546">
        <v>18483</v>
      </c>
      <c r="I70" s="546">
        <v>0</v>
      </c>
      <c r="J70" s="546">
        <v>2929341</v>
      </c>
      <c r="K70" s="546">
        <v>28358</v>
      </c>
      <c r="L70" s="546">
        <v>2496937</v>
      </c>
      <c r="M70" s="546">
        <v>1728</v>
      </c>
      <c r="N70" s="546">
        <v>16679</v>
      </c>
      <c r="O70" s="546">
        <v>63313</v>
      </c>
      <c r="P70" s="546">
        <v>0</v>
      </c>
      <c r="Q70" s="546">
        <v>0</v>
      </c>
    </row>
    <row r="71" spans="1:17" ht="41.4" x14ac:dyDescent="0.25">
      <c r="A71" s="547" t="s">
        <v>857</v>
      </c>
      <c r="B71" s="548">
        <v>453347511</v>
      </c>
      <c r="C71" s="548">
        <v>0</v>
      </c>
      <c r="D71" s="548">
        <v>0</v>
      </c>
      <c r="E71" s="548">
        <v>5802660</v>
      </c>
      <c r="F71" s="548">
        <v>126314314</v>
      </c>
      <c r="G71" s="548">
        <v>66737080</v>
      </c>
      <c r="H71" s="548">
        <v>33966603</v>
      </c>
      <c r="I71" s="548">
        <v>29405680</v>
      </c>
      <c r="J71" s="548">
        <v>24896514</v>
      </c>
      <c r="K71" s="548">
        <v>14013479</v>
      </c>
      <c r="L71" s="548">
        <v>12535657</v>
      </c>
      <c r="M71" s="548">
        <v>1531995</v>
      </c>
      <c r="N71" s="548">
        <v>96977613</v>
      </c>
      <c r="O71" s="548">
        <v>32794123</v>
      </c>
      <c r="P71" s="548">
        <v>8371793</v>
      </c>
      <c r="Q71" s="548">
        <v>0</v>
      </c>
    </row>
    <row r="72" spans="1:17" ht="27.6" x14ac:dyDescent="0.25">
      <c r="A72" s="545" t="s">
        <v>867</v>
      </c>
      <c r="B72" s="546">
        <v>5320193</v>
      </c>
      <c r="C72" s="546">
        <v>0</v>
      </c>
      <c r="D72" s="546">
        <v>0</v>
      </c>
      <c r="E72" s="546">
        <v>150000</v>
      </c>
      <c r="F72" s="546">
        <v>521193</v>
      </c>
      <c r="G72" s="546">
        <v>0</v>
      </c>
      <c r="H72" s="546">
        <v>0</v>
      </c>
      <c r="I72" s="546">
        <v>0</v>
      </c>
      <c r="J72" s="546">
        <v>0</v>
      </c>
      <c r="K72" s="546">
        <v>0</v>
      </c>
      <c r="L72" s="546">
        <v>4649000</v>
      </c>
      <c r="M72" s="546">
        <v>0</v>
      </c>
      <c r="N72" s="546">
        <v>0</v>
      </c>
      <c r="O72" s="546">
        <v>0</v>
      </c>
      <c r="P72" s="546">
        <v>0</v>
      </c>
      <c r="Q72" s="546">
        <v>0</v>
      </c>
    </row>
    <row r="73" spans="1:17" ht="13.8" x14ac:dyDescent="0.25">
      <c r="A73" s="545" t="s">
        <v>868</v>
      </c>
      <c r="B73" s="546">
        <v>5320193</v>
      </c>
      <c r="C73" s="546">
        <v>0</v>
      </c>
      <c r="D73" s="546">
        <v>0</v>
      </c>
      <c r="E73" s="546">
        <v>150000</v>
      </c>
      <c r="F73" s="546">
        <v>521193</v>
      </c>
      <c r="G73" s="546">
        <v>0</v>
      </c>
      <c r="H73" s="546">
        <v>0</v>
      </c>
      <c r="I73" s="546">
        <v>0</v>
      </c>
      <c r="J73" s="546">
        <v>0</v>
      </c>
      <c r="K73" s="546">
        <v>0</v>
      </c>
      <c r="L73" s="546">
        <v>4649000</v>
      </c>
      <c r="M73" s="546">
        <v>0</v>
      </c>
      <c r="N73" s="546">
        <v>0</v>
      </c>
      <c r="O73" s="546">
        <v>0</v>
      </c>
      <c r="P73" s="546">
        <v>0</v>
      </c>
      <c r="Q73" s="546">
        <v>0</v>
      </c>
    </row>
    <row r="74" spans="1:17" ht="27.6" x14ac:dyDescent="0.25">
      <c r="A74" s="547" t="s">
        <v>869</v>
      </c>
      <c r="B74" s="548">
        <v>5320193</v>
      </c>
      <c r="C74" s="548">
        <v>0</v>
      </c>
      <c r="D74" s="548">
        <v>0</v>
      </c>
      <c r="E74" s="548">
        <v>150000</v>
      </c>
      <c r="F74" s="548">
        <v>521193</v>
      </c>
      <c r="G74" s="548">
        <v>0</v>
      </c>
      <c r="H74" s="548">
        <v>0</v>
      </c>
      <c r="I74" s="548">
        <v>0</v>
      </c>
      <c r="J74" s="548">
        <v>0</v>
      </c>
      <c r="K74" s="548">
        <v>0</v>
      </c>
      <c r="L74" s="548">
        <v>4649000</v>
      </c>
      <c r="M74" s="548">
        <v>0</v>
      </c>
      <c r="N74" s="548">
        <v>0</v>
      </c>
      <c r="O74" s="548">
        <v>0</v>
      </c>
      <c r="P74" s="548">
        <v>0</v>
      </c>
      <c r="Q74" s="548">
        <v>0</v>
      </c>
    </row>
    <row r="75" spans="1:17" ht="27.6" x14ac:dyDescent="0.25">
      <c r="A75" s="547" t="s">
        <v>858</v>
      </c>
      <c r="B75" s="548">
        <v>460554221</v>
      </c>
      <c r="C75" s="548">
        <v>1500000</v>
      </c>
      <c r="D75" s="548">
        <v>271517</v>
      </c>
      <c r="E75" s="548">
        <v>5952660</v>
      </c>
      <c r="F75" s="548">
        <v>126950507</v>
      </c>
      <c r="G75" s="548">
        <v>66737080</v>
      </c>
      <c r="H75" s="548">
        <v>33966603</v>
      </c>
      <c r="I75" s="548">
        <v>29405680</v>
      </c>
      <c r="J75" s="548">
        <v>24896514</v>
      </c>
      <c r="K75" s="548">
        <v>14013479</v>
      </c>
      <c r="L75" s="548">
        <v>17184657</v>
      </c>
      <c r="M75" s="548">
        <v>1531995</v>
      </c>
      <c r="N75" s="548">
        <v>96977613</v>
      </c>
      <c r="O75" s="548">
        <v>32794123</v>
      </c>
      <c r="P75" s="548">
        <v>8371793</v>
      </c>
      <c r="Q75" s="548">
        <v>0</v>
      </c>
    </row>
    <row r="76" spans="1:17" ht="27.6" x14ac:dyDescent="0.25">
      <c r="A76" s="545" t="s">
        <v>859</v>
      </c>
      <c r="B76" s="546">
        <v>72652218</v>
      </c>
      <c r="C76" s="546">
        <v>72652218</v>
      </c>
      <c r="D76" s="546">
        <v>0</v>
      </c>
      <c r="E76" s="546">
        <v>0</v>
      </c>
      <c r="F76" s="546">
        <v>0</v>
      </c>
      <c r="G76" s="546">
        <v>0</v>
      </c>
      <c r="H76" s="546">
        <v>0</v>
      </c>
      <c r="I76" s="546">
        <v>0</v>
      </c>
      <c r="J76" s="546">
        <v>0</v>
      </c>
      <c r="K76" s="546">
        <v>0</v>
      </c>
      <c r="L76" s="546">
        <v>0</v>
      </c>
      <c r="M76" s="546">
        <v>0</v>
      </c>
      <c r="N76" s="546">
        <v>0</v>
      </c>
      <c r="O76" s="546">
        <v>0</v>
      </c>
      <c r="P76" s="546">
        <v>0</v>
      </c>
      <c r="Q76" s="546">
        <v>0</v>
      </c>
    </row>
    <row r="77" spans="1:17" ht="13.8" x14ac:dyDescent="0.25">
      <c r="A77" s="545" t="s">
        <v>860</v>
      </c>
      <c r="B77" s="546">
        <v>72652218</v>
      </c>
      <c r="C77" s="546">
        <v>72652218</v>
      </c>
      <c r="D77" s="546">
        <v>0</v>
      </c>
      <c r="E77" s="546">
        <v>0</v>
      </c>
      <c r="F77" s="546">
        <v>0</v>
      </c>
      <c r="G77" s="546">
        <v>0</v>
      </c>
      <c r="H77" s="546">
        <v>0</v>
      </c>
      <c r="I77" s="546">
        <v>0</v>
      </c>
      <c r="J77" s="546">
        <v>0</v>
      </c>
      <c r="K77" s="546">
        <v>0</v>
      </c>
      <c r="L77" s="546">
        <v>0</v>
      </c>
      <c r="M77" s="546">
        <v>0</v>
      </c>
      <c r="N77" s="546">
        <v>0</v>
      </c>
      <c r="O77" s="546">
        <v>0</v>
      </c>
      <c r="P77" s="546">
        <v>0</v>
      </c>
      <c r="Q77" s="546">
        <v>0</v>
      </c>
    </row>
    <row r="78" spans="1:17" ht="13.8" x14ac:dyDescent="0.25">
      <c r="A78" s="545" t="s">
        <v>870</v>
      </c>
      <c r="B78" s="546">
        <v>1061284928</v>
      </c>
      <c r="C78" s="546">
        <v>1061284928</v>
      </c>
      <c r="D78" s="546">
        <v>0</v>
      </c>
      <c r="E78" s="546">
        <v>0</v>
      </c>
      <c r="F78" s="546">
        <v>0</v>
      </c>
      <c r="G78" s="546">
        <v>0</v>
      </c>
      <c r="H78" s="546">
        <v>0</v>
      </c>
      <c r="I78" s="546">
        <v>0</v>
      </c>
      <c r="J78" s="546">
        <v>0</v>
      </c>
      <c r="K78" s="546">
        <v>0</v>
      </c>
      <c r="L78" s="546">
        <v>0</v>
      </c>
      <c r="M78" s="546">
        <v>0</v>
      </c>
      <c r="N78" s="546">
        <v>0</v>
      </c>
      <c r="O78" s="546">
        <v>0</v>
      </c>
      <c r="P78" s="546">
        <v>0</v>
      </c>
      <c r="Q78" s="546">
        <v>0</v>
      </c>
    </row>
    <row r="79" spans="1:17" ht="27.6" x14ac:dyDescent="0.25">
      <c r="A79" s="545" t="s">
        <v>861</v>
      </c>
      <c r="B79" s="546">
        <v>1133937146</v>
      </c>
      <c r="C79" s="546">
        <v>1133937146</v>
      </c>
      <c r="D79" s="546">
        <v>0</v>
      </c>
      <c r="E79" s="546">
        <v>0</v>
      </c>
      <c r="F79" s="546">
        <v>0</v>
      </c>
      <c r="G79" s="546">
        <v>0</v>
      </c>
      <c r="H79" s="546">
        <v>0</v>
      </c>
      <c r="I79" s="546">
        <v>0</v>
      </c>
      <c r="J79" s="546">
        <v>0</v>
      </c>
      <c r="K79" s="546">
        <v>0</v>
      </c>
      <c r="L79" s="546">
        <v>0</v>
      </c>
      <c r="M79" s="546">
        <v>0</v>
      </c>
      <c r="N79" s="546">
        <v>0</v>
      </c>
      <c r="O79" s="546">
        <v>0</v>
      </c>
      <c r="P79" s="546">
        <v>0</v>
      </c>
      <c r="Q79" s="546">
        <v>0</v>
      </c>
    </row>
    <row r="80" spans="1:17" ht="27.6" x14ac:dyDescent="0.25">
      <c r="A80" s="547" t="s">
        <v>862</v>
      </c>
      <c r="B80" s="548">
        <v>1133937146</v>
      </c>
      <c r="C80" s="548">
        <v>1133937146</v>
      </c>
      <c r="D80" s="548">
        <v>0</v>
      </c>
      <c r="E80" s="548">
        <v>0</v>
      </c>
      <c r="F80" s="548">
        <v>0</v>
      </c>
      <c r="G80" s="548">
        <v>0</v>
      </c>
      <c r="H80" s="548">
        <v>0</v>
      </c>
      <c r="I80" s="548">
        <v>0</v>
      </c>
      <c r="J80" s="548">
        <v>0</v>
      </c>
      <c r="K80" s="548">
        <v>0</v>
      </c>
      <c r="L80" s="548">
        <v>0</v>
      </c>
      <c r="M80" s="548">
        <v>0</v>
      </c>
      <c r="N80" s="548">
        <v>0</v>
      </c>
      <c r="O80" s="548">
        <v>0</v>
      </c>
      <c r="P80" s="548">
        <v>0</v>
      </c>
      <c r="Q80" s="548">
        <v>0</v>
      </c>
    </row>
    <row r="81" spans="1:21" ht="13.8" x14ac:dyDescent="0.25">
      <c r="A81" s="550" t="s">
        <v>863</v>
      </c>
      <c r="B81" s="551">
        <v>1594491367</v>
      </c>
      <c r="C81" s="551">
        <v>1135437146</v>
      </c>
      <c r="D81" s="551">
        <v>271517</v>
      </c>
      <c r="E81" s="551">
        <v>5952660</v>
      </c>
      <c r="F81" s="551">
        <v>126950507</v>
      </c>
      <c r="G81" s="551">
        <v>66737080</v>
      </c>
      <c r="H81" s="551">
        <v>33966603</v>
      </c>
      <c r="I81" s="551">
        <v>29405680</v>
      </c>
      <c r="J81" s="551">
        <v>24896514</v>
      </c>
      <c r="K81" s="551">
        <v>14013479</v>
      </c>
      <c r="L81" s="551">
        <v>17184657</v>
      </c>
      <c r="M81" s="551">
        <v>1531995</v>
      </c>
      <c r="N81" s="551">
        <v>96977613</v>
      </c>
      <c r="O81" s="551">
        <v>32794123</v>
      </c>
      <c r="P81" s="551">
        <v>8371793</v>
      </c>
      <c r="Q81" s="551">
        <v>0</v>
      </c>
    </row>
    <row r="84" spans="1:21" x14ac:dyDescent="0.25">
      <c r="A84" s="83" t="s">
        <v>886</v>
      </c>
    </row>
    <row r="86" spans="1:21" ht="62.4" x14ac:dyDescent="0.25">
      <c r="A86" s="555" t="s">
        <v>110</v>
      </c>
      <c r="B86" s="555" t="s">
        <v>38</v>
      </c>
      <c r="C86" s="555" t="s">
        <v>840</v>
      </c>
      <c r="D86" s="555" t="s">
        <v>295</v>
      </c>
      <c r="E86" s="555" t="s">
        <v>871</v>
      </c>
      <c r="F86" s="555" t="s">
        <v>872</v>
      </c>
      <c r="G86" s="555" t="s">
        <v>841</v>
      </c>
      <c r="H86" s="555" t="s">
        <v>873</v>
      </c>
      <c r="I86" s="555" t="s">
        <v>874</v>
      </c>
      <c r="J86" s="555" t="s">
        <v>875</v>
      </c>
      <c r="K86" s="555" t="s">
        <v>296</v>
      </c>
      <c r="L86" s="555" t="s">
        <v>876</v>
      </c>
      <c r="M86" s="555" t="s">
        <v>864</v>
      </c>
      <c r="N86" s="555" t="s">
        <v>865</v>
      </c>
      <c r="O86" s="555" t="s">
        <v>866</v>
      </c>
      <c r="P86" s="555" t="s">
        <v>877</v>
      </c>
      <c r="Q86" s="555" t="s">
        <v>878</v>
      </c>
      <c r="R86" s="555" t="s">
        <v>879</v>
      </c>
      <c r="S86" s="555" t="s">
        <v>880</v>
      </c>
      <c r="T86" s="555" t="s">
        <v>881</v>
      </c>
      <c r="U86" s="555" t="s">
        <v>842</v>
      </c>
    </row>
    <row r="87" spans="1:21" ht="27.6" x14ac:dyDescent="0.25">
      <c r="A87" s="545" t="s">
        <v>843</v>
      </c>
      <c r="B87" s="546">
        <v>1625873642</v>
      </c>
      <c r="C87" s="546">
        <v>0</v>
      </c>
      <c r="D87" s="546">
        <v>1621513725</v>
      </c>
      <c r="E87" s="546">
        <v>271517</v>
      </c>
      <c r="F87" s="546">
        <v>0</v>
      </c>
      <c r="G87" s="546">
        <v>115000</v>
      </c>
      <c r="H87" s="546">
        <v>0</v>
      </c>
      <c r="I87" s="546">
        <v>0</v>
      </c>
      <c r="J87" s="546">
        <v>0</v>
      </c>
      <c r="K87" s="546">
        <v>0</v>
      </c>
      <c r="L87" s="546">
        <v>0</v>
      </c>
      <c r="M87" s="546">
        <v>0</v>
      </c>
      <c r="N87" s="546">
        <v>3173400</v>
      </c>
      <c r="O87" s="546">
        <v>800000</v>
      </c>
      <c r="P87" s="546">
        <v>0</v>
      </c>
      <c r="Q87" s="546">
        <v>0</v>
      </c>
      <c r="R87" s="546">
        <v>0</v>
      </c>
      <c r="S87" s="546">
        <v>0</v>
      </c>
      <c r="T87" s="546">
        <v>0</v>
      </c>
      <c r="U87" s="546">
        <v>0</v>
      </c>
    </row>
    <row r="88" spans="1:21" ht="13.8" x14ac:dyDescent="0.25">
      <c r="A88" s="545" t="s">
        <v>844</v>
      </c>
      <c r="B88" s="546">
        <v>9577400</v>
      </c>
      <c r="C88" s="546">
        <v>0</v>
      </c>
      <c r="D88" s="546">
        <v>6404000</v>
      </c>
      <c r="E88" s="546">
        <v>0</v>
      </c>
      <c r="F88" s="546">
        <v>0</v>
      </c>
      <c r="G88" s="546">
        <v>0</v>
      </c>
      <c r="H88" s="546">
        <v>0</v>
      </c>
      <c r="I88" s="546">
        <v>0</v>
      </c>
      <c r="J88" s="546">
        <v>0</v>
      </c>
      <c r="K88" s="546">
        <v>0</v>
      </c>
      <c r="L88" s="546">
        <v>0</v>
      </c>
      <c r="M88" s="546">
        <v>0</v>
      </c>
      <c r="N88" s="546">
        <v>3173400</v>
      </c>
      <c r="O88" s="546">
        <v>0</v>
      </c>
      <c r="P88" s="546">
        <v>0</v>
      </c>
      <c r="Q88" s="546">
        <v>0</v>
      </c>
      <c r="R88" s="546">
        <v>0</v>
      </c>
      <c r="S88" s="546">
        <v>0</v>
      </c>
      <c r="T88" s="546">
        <v>0</v>
      </c>
      <c r="U88" s="546">
        <v>0</v>
      </c>
    </row>
    <row r="89" spans="1:21" ht="13.8" x14ac:dyDescent="0.25">
      <c r="A89" s="545" t="s">
        <v>882</v>
      </c>
      <c r="B89" s="546">
        <v>271517</v>
      </c>
      <c r="C89" s="546">
        <v>0</v>
      </c>
      <c r="D89" s="546">
        <v>0</v>
      </c>
      <c r="E89" s="546">
        <v>271517</v>
      </c>
      <c r="F89" s="546">
        <v>0</v>
      </c>
      <c r="G89" s="546">
        <v>0</v>
      </c>
      <c r="H89" s="546">
        <v>0</v>
      </c>
      <c r="I89" s="546">
        <v>0</v>
      </c>
      <c r="J89" s="546">
        <v>0</v>
      </c>
      <c r="K89" s="546">
        <v>0</v>
      </c>
      <c r="L89" s="546">
        <v>0</v>
      </c>
      <c r="M89" s="546">
        <v>0</v>
      </c>
      <c r="N89" s="546">
        <v>0</v>
      </c>
      <c r="O89" s="546">
        <v>0</v>
      </c>
      <c r="P89" s="546">
        <v>0</v>
      </c>
      <c r="Q89" s="546">
        <v>0</v>
      </c>
      <c r="R89" s="546">
        <v>0</v>
      </c>
      <c r="S89" s="546">
        <v>0</v>
      </c>
      <c r="T89" s="546">
        <v>0</v>
      </c>
      <c r="U89" s="546">
        <v>0</v>
      </c>
    </row>
    <row r="90" spans="1:21" ht="27.6" x14ac:dyDescent="0.25">
      <c r="A90" s="545" t="s">
        <v>845</v>
      </c>
      <c r="B90" s="546">
        <v>1616024725</v>
      </c>
      <c r="C90" s="546">
        <v>0</v>
      </c>
      <c r="D90" s="546">
        <v>1615109725</v>
      </c>
      <c r="E90" s="546">
        <v>0</v>
      </c>
      <c r="F90" s="546">
        <v>0</v>
      </c>
      <c r="G90" s="546">
        <v>115000</v>
      </c>
      <c r="H90" s="546">
        <v>0</v>
      </c>
      <c r="I90" s="546">
        <v>0</v>
      </c>
      <c r="J90" s="546">
        <v>0</v>
      </c>
      <c r="K90" s="546">
        <v>0</v>
      </c>
      <c r="L90" s="546">
        <v>0</v>
      </c>
      <c r="M90" s="546">
        <v>0</v>
      </c>
      <c r="N90" s="546">
        <v>0</v>
      </c>
      <c r="O90" s="546">
        <v>800000</v>
      </c>
      <c r="P90" s="546">
        <v>0</v>
      </c>
      <c r="Q90" s="546">
        <v>0</v>
      </c>
      <c r="R90" s="546">
        <v>0</v>
      </c>
      <c r="S90" s="546">
        <v>0</v>
      </c>
      <c r="T90" s="546">
        <v>0</v>
      </c>
      <c r="U90" s="546">
        <v>0</v>
      </c>
    </row>
    <row r="91" spans="1:21" ht="27.6" x14ac:dyDescent="0.25">
      <c r="A91" s="547" t="s">
        <v>846</v>
      </c>
      <c r="B91" s="548">
        <v>1625873642</v>
      </c>
      <c r="C91" s="548">
        <v>0</v>
      </c>
      <c r="D91" s="548">
        <v>1621513725</v>
      </c>
      <c r="E91" s="548">
        <v>271517</v>
      </c>
      <c r="F91" s="548">
        <v>0</v>
      </c>
      <c r="G91" s="548">
        <v>115000</v>
      </c>
      <c r="H91" s="548">
        <v>0</v>
      </c>
      <c r="I91" s="548">
        <v>0</v>
      </c>
      <c r="J91" s="548">
        <v>0</v>
      </c>
      <c r="K91" s="548">
        <v>0</v>
      </c>
      <c r="L91" s="548">
        <v>0</v>
      </c>
      <c r="M91" s="548">
        <v>0</v>
      </c>
      <c r="N91" s="548">
        <v>3173400</v>
      </c>
      <c r="O91" s="548">
        <v>800000</v>
      </c>
      <c r="P91" s="548">
        <v>0</v>
      </c>
      <c r="Q91" s="548">
        <v>0</v>
      </c>
      <c r="R91" s="548">
        <v>0</v>
      </c>
      <c r="S91" s="548">
        <v>0</v>
      </c>
      <c r="T91" s="548">
        <v>0</v>
      </c>
      <c r="U91" s="548">
        <v>0</v>
      </c>
    </row>
    <row r="92" spans="1:21" ht="27.6" x14ac:dyDescent="0.25">
      <c r="A92" s="545" t="s">
        <v>847</v>
      </c>
      <c r="B92" s="546">
        <v>36658738</v>
      </c>
      <c r="C92" s="546">
        <v>0</v>
      </c>
      <c r="D92" s="546">
        <v>36658738</v>
      </c>
      <c r="E92" s="546">
        <v>0</v>
      </c>
      <c r="F92" s="546">
        <v>0</v>
      </c>
      <c r="G92" s="546">
        <v>0</v>
      </c>
      <c r="H92" s="546">
        <v>0</v>
      </c>
      <c r="I92" s="546">
        <v>0</v>
      </c>
      <c r="J92" s="546">
        <v>0</v>
      </c>
      <c r="K92" s="546">
        <v>0</v>
      </c>
      <c r="L92" s="546">
        <v>0</v>
      </c>
      <c r="M92" s="546">
        <v>0</v>
      </c>
      <c r="N92" s="546">
        <v>0</v>
      </c>
      <c r="O92" s="546">
        <v>0</v>
      </c>
      <c r="P92" s="546">
        <v>0</v>
      </c>
      <c r="Q92" s="546">
        <v>0</v>
      </c>
      <c r="R92" s="546">
        <v>0</v>
      </c>
      <c r="S92" s="546">
        <v>0</v>
      </c>
      <c r="T92" s="546">
        <v>0</v>
      </c>
      <c r="U92" s="546">
        <v>0</v>
      </c>
    </row>
    <row r="93" spans="1:21" ht="27.6" x14ac:dyDescent="0.25">
      <c r="A93" s="545" t="s">
        <v>848</v>
      </c>
      <c r="B93" s="546">
        <v>36658738</v>
      </c>
      <c r="C93" s="546">
        <v>0</v>
      </c>
      <c r="D93" s="546">
        <v>36658738</v>
      </c>
      <c r="E93" s="546">
        <v>0</v>
      </c>
      <c r="F93" s="546">
        <v>0</v>
      </c>
      <c r="G93" s="546">
        <v>0</v>
      </c>
      <c r="H93" s="546">
        <v>0</v>
      </c>
      <c r="I93" s="546">
        <v>0</v>
      </c>
      <c r="J93" s="546">
        <v>0</v>
      </c>
      <c r="K93" s="546">
        <v>0</v>
      </c>
      <c r="L93" s="546">
        <v>0</v>
      </c>
      <c r="M93" s="546">
        <v>0</v>
      </c>
      <c r="N93" s="546">
        <v>0</v>
      </c>
      <c r="O93" s="546">
        <v>0</v>
      </c>
      <c r="P93" s="546">
        <v>0</v>
      </c>
      <c r="Q93" s="546">
        <v>0</v>
      </c>
      <c r="R93" s="546">
        <v>0</v>
      </c>
      <c r="S93" s="546">
        <v>0</v>
      </c>
      <c r="T93" s="546">
        <v>0</v>
      </c>
      <c r="U93" s="546">
        <v>0</v>
      </c>
    </row>
    <row r="94" spans="1:21" ht="27.6" x14ac:dyDescent="0.25">
      <c r="A94" s="547" t="s">
        <v>849</v>
      </c>
      <c r="B94" s="548">
        <v>36658738</v>
      </c>
      <c r="C94" s="548">
        <v>0</v>
      </c>
      <c r="D94" s="548">
        <v>36658738</v>
      </c>
      <c r="E94" s="548">
        <v>0</v>
      </c>
      <c r="F94" s="548">
        <v>0</v>
      </c>
      <c r="G94" s="548">
        <v>0</v>
      </c>
      <c r="H94" s="548">
        <v>0</v>
      </c>
      <c r="I94" s="548">
        <v>0</v>
      </c>
      <c r="J94" s="548">
        <v>0</v>
      </c>
      <c r="K94" s="548">
        <v>0</v>
      </c>
      <c r="L94" s="548">
        <v>0</v>
      </c>
      <c r="M94" s="548">
        <v>0</v>
      </c>
      <c r="N94" s="548">
        <v>0</v>
      </c>
      <c r="O94" s="548">
        <v>0</v>
      </c>
      <c r="P94" s="548">
        <v>0</v>
      </c>
      <c r="Q94" s="548">
        <v>0</v>
      </c>
      <c r="R94" s="548">
        <v>0</v>
      </c>
      <c r="S94" s="548">
        <v>0</v>
      </c>
      <c r="T94" s="548">
        <v>0</v>
      </c>
      <c r="U94" s="548">
        <v>0</v>
      </c>
    </row>
    <row r="95" spans="1:21" ht="13.8" x14ac:dyDescent="0.25">
      <c r="A95" s="545" t="s">
        <v>883</v>
      </c>
      <c r="B95" s="546">
        <v>1125437</v>
      </c>
      <c r="C95" s="546">
        <v>0</v>
      </c>
      <c r="D95" s="546">
        <v>0</v>
      </c>
      <c r="E95" s="546">
        <v>0</v>
      </c>
      <c r="F95" s="546">
        <v>0</v>
      </c>
      <c r="G95" s="546">
        <v>0</v>
      </c>
      <c r="H95" s="546">
        <v>0</v>
      </c>
      <c r="I95" s="546">
        <v>0</v>
      </c>
      <c r="J95" s="546">
        <v>0</v>
      </c>
      <c r="K95" s="546">
        <v>0</v>
      </c>
      <c r="L95" s="546">
        <v>0</v>
      </c>
      <c r="M95" s="546">
        <v>0</v>
      </c>
      <c r="N95" s="546">
        <v>0</v>
      </c>
      <c r="O95" s="546">
        <v>0</v>
      </c>
      <c r="P95" s="546">
        <v>0</v>
      </c>
      <c r="Q95" s="546">
        <v>1125437</v>
      </c>
      <c r="R95" s="546">
        <v>0</v>
      </c>
      <c r="S95" s="546">
        <v>0</v>
      </c>
      <c r="T95" s="546">
        <v>0</v>
      </c>
      <c r="U95" s="546">
        <v>0</v>
      </c>
    </row>
    <row r="96" spans="1:21" ht="13.8" x14ac:dyDescent="0.25">
      <c r="A96" s="545" t="s">
        <v>884</v>
      </c>
      <c r="B96" s="546">
        <v>24583272</v>
      </c>
      <c r="C96" s="546">
        <v>0</v>
      </c>
      <c r="D96" s="546">
        <v>0</v>
      </c>
      <c r="E96" s="546">
        <v>0</v>
      </c>
      <c r="F96" s="546">
        <v>0</v>
      </c>
      <c r="G96" s="546">
        <v>5614326</v>
      </c>
      <c r="H96" s="546">
        <v>0</v>
      </c>
      <c r="I96" s="546">
        <v>410600</v>
      </c>
      <c r="J96" s="546">
        <v>0</v>
      </c>
      <c r="K96" s="546">
        <v>18479212</v>
      </c>
      <c r="L96" s="546">
        <v>0</v>
      </c>
      <c r="M96" s="546">
        <v>0</v>
      </c>
      <c r="N96" s="546">
        <v>0</v>
      </c>
      <c r="O96" s="546">
        <v>0</v>
      </c>
      <c r="P96" s="546">
        <v>0</v>
      </c>
      <c r="Q96" s="546">
        <v>79134</v>
      </c>
      <c r="R96" s="546">
        <v>0</v>
      </c>
      <c r="S96" s="546">
        <v>0</v>
      </c>
      <c r="T96" s="546">
        <v>0</v>
      </c>
      <c r="U96" s="546">
        <v>0</v>
      </c>
    </row>
    <row r="97" spans="1:21" ht="27.6" x14ac:dyDescent="0.25">
      <c r="A97" s="545" t="s">
        <v>850</v>
      </c>
      <c r="B97" s="546">
        <v>1768131</v>
      </c>
      <c r="C97" s="546">
        <v>214000</v>
      </c>
      <c r="D97" s="546">
        <v>0</v>
      </c>
      <c r="E97" s="546">
        <v>0</v>
      </c>
      <c r="F97" s="546">
        <v>0</v>
      </c>
      <c r="G97" s="546">
        <v>1530115</v>
      </c>
      <c r="H97" s="546">
        <v>0</v>
      </c>
      <c r="I97" s="546">
        <v>0</v>
      </c>
      <c r="J97" s="546">
        <v>0</v>
      </c>
      <c r="K97" s="546">
        <v>0</v>
      </c>
      <c r="L97" s="546">
        <v>0</v>
      </c>
      <c r="M97" s="546">
        <v>0</v>
      </c>
      <c r="N97" s="546">
        <v>0</v>
      </c>
      <c r="O97" s="546">
        <v>4016</v>
      </c>
      <c r="P97" s="546">
        <v>0</v>
      </c>
      <c r="Q97" s="546">
        <v>0</v>
      </c>
      <c r="R97" s="546">
        <v>0</v>
      </c>
      <c r="S97" s="546">
        <v>0</v>
      </c>
      <c r="T97" s="546">
        <v>20000</v>
      </c>
      <c r="U97" s="546">
        <v>0</v>
      </c>
    </row>
    <row r="98" spans="1:21" ht="13.8" x14ac:dyDescent="0.25">
      <c r="A98" s="545" t="s">
        <v>851</v>
      </c>
      <c r="B98" s="546">
        <v>1764115</v>
      </c>
      <c r="C98" s="546">
        <v>214000</v>
      </c>
      <c r="D98" s="546">
        <v>0</v>
      </c>
      <c r="E98" s="546">
        <v>0</v>
      </c>
      <c r="F98" s="546">
        <v>0</v>
      </c>
      <c r="G98" s="546">
        <v>1530115</v>
      </c>
      <c r="H98" s="546">
        <v>0</v>
      </c>
      <c r="I98" s="546">
        <v>0</v>
      </c>
      <c r="J98" s="546">
        <v>0</v>
      </c>
      <c r="K98" s="546">
        <v>0</v>
      </c>
      <c r="L98" s="546">
        <v>0</v>
      </c>
      <c r="M98" s="546">
        <v>0</v>
      </c>
      <c r="N98" s="546">
        <v>0</v>
      </c>
      <c r="O98" s="546">
        <v>0</v>
      </c>
      <c r="P98" s="546">
        <v>0</v>
      </c>
      <c r="Q98" s="546">
        <v>0</v>
      </c>
      <c r="R98" s="546">
        <v>0</v>
      </c>
      <c r="S98" s="546">
        <v>0</v>
      </c>
      <c r="T98" s="546">
        <v>20000</v>
      </c>
      <c r="U98" s="546">
        <v>0</v>
      </c>
    </row>
    <row r="99" spans="1:21" ht="13.8" x14ac:dyDescent="0.25">
      <c r="A99" s="545" t="s">
        <v>852</v>
      </c>
      <c r="B99" s="546">
        <v>395838574</v>
      </c>
      <c r="C99" s="546">
        <v>0</v>
      </c>
      <c r="D99" s="546">
        <v>0</v>
      </c>
      <c r="E99" s="546">
        <v>0</v>
      </c>
      <c r="F99" s="546">
        <v>5693700</v>
      </c>
      <c r="G99" s="546">
        <v>122659514</v>
      </c>
      <c r="H99" s="546">
        <v>66737080</v>
      </c>
      <c r="I99" s="546">
        <v>33533420</v>
      </c>
      <c r="J99" s="546">
        <v>29405680</v>
      </c>
      <c r="K99" s="546">
        <v>3406659</v>
      </c>
      <c r="L99" s="546">
        <v>13665309</v>
      </c>
      <c r="M99" s="546">
        <v>1293400</v>
      </c>
      <c r="N99" s="546">
        <v>0</v>
      </c>
      <c r="O99" s="546">
        <v>0</v>
      </c>
      <c r="P99" s="546">
        <v>10038720</v>
      </c>
      <c r="Q99" s="546">
        <v>0</v>
      </c>
      <c r="R99" s="546">
        <v>68339629</v>
      </c>
      <c r="S99" s="546">
        <v>32719070</v>
      </c>
      <c r="T99" s="546">
        <v>8346393</v>
      </c>
      <c r="U99" s="546">
        <v>0</v>
      </c>
    </row>
    <row r="100" spans="1:21" ht="13.8" x14ac:dyDescent="0.25">
      <c r="A100" s="545" t="s">
        <v>853</v>
      </c>
      <c r="B100" s="546">
        <v>19695310</v>
      </c>
      <c r="C100" s="546">
        <v>5940</v>
      </c>
      <c r="D100" s="546">
        <v>0</v>
      </c>
      <c r="E100" s="546">
        <v>0</v>
      </c>
      <c r="F100" s="546">
        <v>781</v>
      </c>
      <c r="G100" s="546">
        <v>489234</v>
      </c>
      <c r="H100" s="546">
        <v>0</v>
      </c>
      <c r="I100" s="546">
        <v>4100</v>
      </c>
      <c r="J100" s="546">
        <v>0</v>
      </c>
      <c r="K100" s="546">
        <v>81302</v>
      </c>
      <c r="L100" s="546">
        <v>319812</v>
      </c>
      <c r="M100" s="546">
        <v>0</v>
      </c>
      <c r="N100" s="546">
        <v>0</v>
      </c>
      <c r="O100" s="546">
        <v>0</v>
      </c>
      <c r="P100" s="546">
        <v>0</v>
      </c>
      <c r="Q100" s="546">
        <v>325696</v>
      </c>
      <c r="R100" s="546">
        <v>18451305</v>
      </c>
      <c r="S100" s="546">
        <v>11740</v>
      </c>
      <c r="T100" s="546">
        <v>5400</v>
      </c>
      <c r="U100" s="546">
        <v>0</v>
      </c>
    </row>
    <row r="101" spans="1:21" ht="13.8" x14ac:dyDescent="0.25">
      <c r="A101" s="545" t="s">
        <v>885</v>
      </c>
      <c r="B101" s="546">
        <v>10170000</v>
      </c>
      <c r="C101" s="546">
        <v>0</v>
      </c>
      <c r="D101" s="546">
        <v>0</v>
      </c>
      <c r="E101" s="546">
        <v>0</v>
      </c>
      <c r="F101" s="546">
        <v>0</v>
      </c>
      <c r="G101" s="546">
        <v>0</v>
      </c>
      <c r="H101" s="546">
        <v>0</v>
      </c>
      <c r="I101" s="546">
        <v>0</v>
      </c>
      <c r="J101" s="546">
        <v>0</v>
      </c>
      <c r="K101" s="546">
        <v>0</v>
      </c>
      <c r="L101" s="546">
        <v>0</v>
      </c>
      <c r="M101" s="546">
        <v>0</v>
      </c>
      <c r="N101" s="546">
        <v>0</v>
      </c>
      <c r="O101" s="546">
        <v>0</v>
      </c>
      <c r="P101" s="546">
        <v>0</v>
      </c>
      <c r="Q101" s="546">
        <v>0</v>
      </c>
      <c r="R101" s="546">
        <v>10170000</v>
      </c>
      <c r="S101" s="546">
        <v>0</v>
      </c>
      <c r="T101" s="546">
        <v>0</v>
      </c>
      <c r="U101" s="546">
        <v>0</v>
      </c>
    </row>
    <row r="102" spans="1:21" ht="27.6" x14ac:dyDescent="0.25">
      <c r="A102" s="545" t="s">
        <v>854</v>
      </c>
      <c r="B102" s="546">
        <v>7427972</v>
      </c>
      <c r="C102" s="546">
        <v>7427972</v>
      </c>
      <c r="D102" s="546">
        <v>0</v>
      </c>
      <c r="E102" s="546">
        <v>0</v>
      </c>
      <c r="F102" s="546">
        <v>0</v>
      </c>
      <c r="G102" s="546">
        <v>0</v>
      </c>
      <c r="H102" s="546">
        <v>0</v>
      </c>
      <c r="I102" s="546">
        <v>0</v>
      </c>
      <c r="J102" s="546">
        <v>0</v>
      </c>
      <c r="K102" s="546">
        <v>0</v>
      </c>
      <c r="L102" s="546">
        <v>0</v>
      </c>
      <c r="M102" s="546">
        <v>0</v>
      </c>
      <c r="N102" s="546">
        <v>0</v>
      </c>
      <c r="O102" s="546">
        <v>0</v>
      </c>
      <c r="P102" s="546">
        <v>0</v>
      </c>
      <c r="Q102" s="546">
        <v>0</v>
      </c>
      <c r="R102" s="546">
        <v>0</v>
      </c>
      <c r="S102" s="546">
        <v>0</v>
      </c>
      <c r="T102" s="546">
        <v>0</v>
      </c>
      <c r="U102" s="546">
        <v>0</v>
      </c>
    </row>
    <row r="103" spans="1:21" ht="27.6" x14ac:dyDescent="0.25">
      <c r="A103" s="545" t="s">
        <v>855</v>
      </c>
      <c r="B103" s="546">
        <v>7427972</v>
      </c>
      <c r="C103" s="546">
        <v>7427972</v>
      </c>
      <c r="D103" s="546">
        <v>0</v>
      </c>
      <c r="E103" s="546">
        <v>0</v>
      </c>
      <c r="F103" s="546">
        <v>0</v>
      </c>
      <c r="G103" s="546">
        <v>0</v>
      </c>
      <c r="H103" s="546">
        <v>0</v>
      </c>
      <c r="I103" s="546">
        <v>0</v>
      </c>
      <c r="J103" s="546">
        <v>0</v>
      </c>
      <c r="K103" s="546">
        <v>0</v>
      </c>
      <c r="L103" s="546">
        <v>0</v>
      </c>
      <c r="M103" s="546">
        <v>0</v>
      </c>
      <c r="N103" s="546">
        <v>0</v>
      </c>
      <c r="O103" s="546">
        <v>0</v>
      </c>
      <c r="P103" s="546">
        <v>0</v>
      </c>
      <c r="Q103" s="546">
        <v>0</v>
      </c>
      <c r="R103" s="546">
        <v>0</v>
      </c>
      <c r="S103" s="546">
        <v>0</v>
      </c>
      <c r="T103" s="546">
        <v>0</v>
      </c>
      <c r="U103" s="546">
        <v>0</v>
      </c>
    </row>
    <row r="104" spans="1:21" ht="13.8" x14ac:dyDescent="0.25">
      <c r="A104" s="545" t="s">
        <v>856</v>
      </c>
      <c r="B104" s="546">
        <v>10579684</v>
      </c>
      <c r="C104" s="546">
        <v>1885</v>
      </c>
      <c r="D104" s="546">
        <v>0</v>
      </c>
      <c r="E104" s="546">
        <v>0</v>
      </c>
      <c r="F104" s="546">
        <v>108179</v>
      </c>
      <c r="G104" s="546">
        <v>2306049</v>
      </c>
      <c r="H104" s="546">
        <v>0</v>
      </c>
      <c r="I104" s="546">
        <v>18483</v>
      </c>
      <c r="J104" s="546">
        <v>0</v>
      </c>
      <c r="K104" s="546">
        <v>2929341</v>
      </c>
      <c r="L104" s="546">
        <v>28358</v>
      </c>
      <c r="M104" s="546">
        <v>64786</v>
      </c>
      <c r="N104" s="546">
        <v>34720</v>
      </c>
      <c r="O104" s="546">
        <v>2509226</v>
      </c>
      <c r="P104" s="546">
        <v>2496937</v>
      </c>
      <c r="Q104" s="546">
        <v>1728</v>
      </c>
      <c r="R104" s="546">
        <v>16679</v>
      </c>
      <c r="S104" s="546">
        <v>63313</v>
      </c>
      <c r="T104" s="546">
        <v>0</v>
      </c>
      <c r="U104" s="546">
        <v>0</v>
      </c>
    </row>
    <row r="105" spans="1:21" ht="41.4" x14ac:dyDescent="0.25">
      <c r="A105" s="547" t="s">
        <v>857</v>
      </c>
      <c r="B105" s="548">
        <v>471188380</v>
      </c>
      <c r="C105" s="548">
        <v>7649797</v>
      </c>
      <c r="D105" s="548">
        <v>0</v>
      </c>
      <c r="E105" s="548">
        <v>0</v>
      </c>
      <c r="F105" s="548">
        <v>5802660</v>
      </c>
      <c r="G105" s="548">
        <v>132599238</v>
      </c>
      <c r="H105" s="548">
        <v>66737080</v>
      </c>
      <c r="I105" s="548">
        <v>33966603</v>
      </c>
      <c r="J105" s="548">
        <v>29405680</v>
      </c>
      <c r="K105" s="548">
        <v>24896514</v>
      </c>
      <c r="L105" s="548">
        <v>14013479</v>
      </c>
      <c r="M105" s="548">
        <v>1358186</v>
      </c>
      <c r="N105" s="548">
        <v>34720</v>
      </c>
      <c r="O105" s="548">
        <v>2513242</v>
      </c>
      <c r="P105" s="548">
        <v>12535657</v>
      </c>
      <c r="Q105" s="548">
        <v>1531995</v>
      </c>
      <c r="R105" s="548">
        <v>96977613</v>
      </c>
      <c r="S105" s="548">
        <v>32794123</v>
      </c>
      <c r="T105" s="548">
        <v>8371793</v>
      </c>
      <c r="U105" s="548">
        <v>0</v>
      </c>
    </row>
    <row r="106" spans="1:21" ht="27.6" x14ac:dyDescent="0.25">
      <c r="A106" s="545" t="s">
        <v>867</v>
      </c>
      <c r="B106" s="546">
        <v>6500193</v>
      </c>
      <c r="C106" s="546">
        <v>0</v>
      </c>
      <c r="D106" s="546">
        <v>0</v>
      </c>
      <c r="E106" s="546">
        <v>0</v>
      </c>
      <c r="F106" s="546">
        <v>150000</v>
      </c>
      <c r="G106" s="546">
        <v>521193</v>
      </c>
      <c r="H106" s="546">
        <v>0</v>
      </c>
      <c r="I106" s="546">
        <v>0</v>
      </c>
      <c r="J106" s="546">
        <v>0</v>
      </c>
      <c r="K106" s="546">
        <v>0</v>
      </c>
      <c r="L106" s="546">
        <v>0</v>
      </c>
      <c r="M106" s="546">
        <v>0</v>
      </c>
      <c r="N106" s="546">
        <v>0</v>
      </c>
      <c r="O106" s="546">
        <v>1180000</v>
      </c>
      <c r="P106" s="546">
        <v>4649000</v>
      </c>
      <c r="Q106" s="546">
        <v>0</v>
      </c>
      <c r="R106" s="546">
        <v>0</v>
      </c>
      <c r="S106" s="546">
        <v>0</v>
      </c>
      <c r="T106" s="546">
        <v>0</v>
      </c>
      <c r="U106" s="546">
        <v>0</v>
      </c>
    </row>
    <row r="107" spans="1:21" ht="13.8" x14ac:dyDescent="0.25">
      <c r="A107" s="545" t="s">
        <v>868</v>
      </c>
      <c r="B107" s="546">
        <v>6500193</v>
      </c>
      <c r="C107" s="546">
        <v>0</v>
      </c>
      <c r="D107" s="546">
        <v>0</v>
      </c>
      <c r="E107" s="546">
        <v>0</v>
      </c>
      <c r="F107" s="546">
        <v>150000</v>
      </c>
      <c r="G107" s="546">
        <v>521193</v>
      </c>
      <c r="H107" s="546">
        <v>0</v>
      </c>
      <c r="I107" s="546">
        <v>0</v>
      </c>
      <c r="J107" s="546">
        <v>0</v>
      </c>
      <c r="K107" s="546">
        <v>0</v>
      </c>
      <c r="L107" s="546">
        <v>0</v>
      </c>
      <c r="M107" s="546">
        <v>0</v>
      </c>
      <c r="N107" s="546">
        <v>0</v>
      </c>
      <c r="O107" s="546">
        <v>1180000</v>
      </c>
      <c r="P107" s="546">
        <v>4649000</v>
      </c>
      <c r="Q107" s="546">
        <v>0</v>
      </c>
      <c r="R107" s="546">
        <v>0</v>
      </c>
      <c r="S107" s="546">
        <v>0</v>
      </c>
      <c r="T107" s="546">
        <v>0</v>
      </c>
      <c r="U107" s="546">
        <v>0</v>
      </c>
    </row>
    <row r="108" spans="1:21" ht="27.6" x14ac:dyDescent="0.25">
      <c r="A108" s="547" t="s">
        <v>869</v>
      </c>
      <c r="B108" s="548">
        <v>6500193</v>
      </c>
      <c r="C108" s="548">
        <v>0</v>
      </c>
      <c r="D108" s="548">
        <v>0</v>
      </c>
      <c r="E108" s="548">
        <v>0</v>
      </c>
      <c r="F108" s="548">
        <v>150000</v>
      </c>
      <c r="G108" s="548">
        <v>521193</v>
      </c>
      <c r="H108" s="548">
        <v>0</v>
      </c>
      <c r="I108" s="548">
        <v>0</v>
      </c>
      <c r="J108" s="548">
        <v>0</v>
      </c>
      <c r="K108" s="548">
        <v>0</v>
      </c>
      <c r="L108" s="548">
        <v>0</v>
      </c>
      <c r="M108" s="548">
        <v>0</v>
      </c>
      <c r="N108" s="548">
        <v>0</v>
      </c>
      <c r="O108" s="548">
        <v>1180000</v>
      </c>
      <c r="P108" s="548">
        <v>4649000</v>
      </c>
      <c r="Q108" s="548">
        <v>0</v>
      </c>
      <c r="R108" s="548">
        <v>0</v>
      </c>
      <c r="S108" s="548">
        <v>0</v>
      </c>
      <c r="T108" s="548">
        <v>0</v>
      </c>
      <c r="U108" s="548">
        <v>0</v>
      </c>
    </row>
    <row r="109" spans="1:21" ht="27.6" x14ac:dyDescent="0.25">
      <c r="A109" s="547" t="s">
        <v>858</v>
      </c>
      <c r="B109" s="548">
        <v>2140220953</v>
      </c>
      <c r="C109" s="548">
        <v>7649797</v>
      </c>
      <c r="D109" s="548">
        <v>1658172463</v>
      </c>
      <c r="E109" s="548">
        <v>271517</v>
      </c>
      <c r="F109" s="548">
        <v>5952660</v>
      </c>
      <c r="G109" s="548">
        <v>133235431</v>
      </c>
      <c r="H109" s="548">
        <v>66737080</v>
      </c>
      <c r="I109" s="548">
        <v>33966603</v>
      </c>
      <c r="J109" s="548">
        <v>29405680</v>
      </c>
      <c r="K109" s="548">
        <v>24896514</v>
      </c>
      <c r="L109" s="548">
        <v>14013479</v>
      </c>
      <c r="M109" s="548">
        <v>1358186</v>
      </c>
      <c r="N109" s="548">
        <v>3208120</v>
      </c>
      <c r="O109" s="548">
        <v>4493242</v>
      </c>
      <c r="P109" s="548">
        <v>17184657</v>
      </c>
      <c r="Q109" s="548">
        <v>1531995</v>
      </c>
      <c r="R109" s="548">
        <v>96977613</v>
      </c>
      <c r="S109" s="548">
        <v>32794123</v>
      </c>
      <c r="T109" s="548">
        <v>8371793</v>
      </c>
      <c r="U109" s="548">
        <v>0</v>
      </c>
    </row>
    <row r="110" spans="1:21" ht="27.6" x14ac:dyDescent="0.25">
      <c r="A110" s="545" t="s">
        <v>859</v>
      </c>
      <c r="B110" s="546">
        <v>354435719</v>
      </c>
      <c r="C110" s="546">
        <v>0</v>
      </c>
      <c r="D110" s="546">
        <v>354435719</v>
      </c>
      <c r="E110" s="546">
        <v>0</v>
      </c>
      <c r="F110" s="546">
        <v>0</v>
      </c>
      <c r="G110" s="546">
        <v>0</v>
      </c>
      <c r="H110" s="546">
        <v>0</v>
      </c>
      <c r="I110" s="546">
        <v>0</v>
      </c>
      <c r="J110" s="546">
        <v>0</v>
      </c>
      <c r="K110" s="546">
        <v>0</v>
      </c>
      <c r="L110" s="546">
        <v>0</v>
      </c>
      <c r="M110" s="546">
        <v>0</v>
      </c>
      <c r="N110" s="546">
        <v>0</v>
      </c>
      <c r="O110" s="546">
        <v>0</v>
      </c>
      <c r="P110" s="546">
        <v>0</v>
      </c>
      <c r="Q110" s="546">
        <v>0</v>
      </c>
      <c r="R110" s="546">
        <v>0</v>
      </c>
      <c r="S110" s="546">
        <v>0</v>
      </c>
      <c r="T110" s="546">
        <v>0</v>
      </c>
      <c r="U110" s="546">
        <v>0</v>
      </c>
    </row>
    <row r="111" spans="1:21" ht="13.8" x14ac:dyDescent="0.25">
      <c r="A111" s="545" t="s">
        <v>860</v>
      </c>
      <c r="B111" s="546">
        <v>354435719</v>
      </c>
      <c r="C111" s="546">
        <v>0</v>
      </c>
      <c r="D111" s="546">
        <v>354435719</v>
      </c>
      <c r="E111" s="546">
        <v>0</v>
      </c>
      <c r="F111" s="546">
        <v>0</v>
      </c>
      <c r="G111" s="546">
        <v>0</v>
      </c>
      <c r="H111" s="546">
        <v>0</v>
      </c>
      <c r="I111" s="546">
        <v>0</v>
      </c>
      <c r="J111" s="546">
        <v>0</v>
      </c>
      <c r="K111" s="546">
        <v>0</v>
      </c>
      <c r="L111" s="546">
        <v>0</v>
      </c>
      <c r="M111" s="546">
        <v>0</v>
      </c>
      <c r="N111" s="546">
        <v>0</v>
      </c>
      <c r="O111" s="546">
        <v>0</v>
      </c>
      <c r="P111" s="546">
        <v>0</v>
      </c>
      <c r="Q111" s="546">
        <v>0</v>
      </c>
      <c r="R111" s="546">
        <v>0</v>
      </c>
      <c r="S111" s="546">
        <v>0</v>
      </c>
      <c r="T111" s="546">
        <v>0</v>
      </c>
      <c r="U111" s="546">
        <v>0</v>
      </c>
    </row>
    <row r="112" spans="1:21" ht="13.8" x14ac:dyDescent="0.25">
      <c r="A112" s="545" t="s">
        <v>870</v>
      </c>
      <c r="B112" s="546">
        <v>1506178551</v>
      </c>
      <c r="C112" s="546">
        <v>0</v>
      </c>
      <c r="D112" s="546">
        <v>1506178551</v>
      </c>
      <c r="E112" s="546">
        <v>0</v>
      </c>
      <c r="F112" s="546">
        <v>0</v>
      </c>
      <c r="G112" s="546">
        <v>0</v>
      </c>
      <c r="H112" s="546">
        <v>0</v>
      </c>
      <c r="I112" s="546">
        <v>0</v>
      </c>
      <c r="J112" s="546">
        <v>0</v>
      </c>
      <c r="K112" s="546">
        <v>0</v>
      </c>
      <c r="L112" s="546">
        <v>0</v>
      </c>
      <c r="M112" s="546">
        <v>0</v>
      </c>
      <c r="N112" s="546">
        <v>0</v>
      </c>
      <c r="O112" s="546">
        <v>0</v>
      </c>
      <c r="P112" s="546">
        <v>0</v>
      </c>
      <c r="Q112" s="546">
        <v>0</v>
      </c>
      <c r="R112" s="546">
        <v>0</v>
      </c>
      <c r="S112" s="546">
        <v>0</v>
      </c>
      <c r="T112" s="546">
        <v>0</v>
      </c>
      <c r="U112" s="546">
        <v>0</v>
      </c>
    </row>
    <row r="113" spans="1:21" ht="27.6" x14ac:dyDescent="0.25">
      <c r="A113" s="545" t="s">
        <v>861</v>
      </c>
      <c r="B113" s="546">
        <v>1860614270</v>
      </c>
      <c r="C113" s="546">
        <v>0</v>
      </c>
      <c r="D113" s="546">
        <v>1860614270</v>
      </c>
      <c r="E113" s="546">
        <v>0</v>
      </c>
      <c r="F113" s="546">
        <v>0</v>
      </c>
      <c r="G113" s="546">
        <v>0</v>
      </c>
      <c r="H113" s="546">
        <v>0</v>
      </c>
      <c r="I113" s="546">
        <v>0</v>
      </c>
      <c r="J113" s="546">
        <v>0</v>
      </c>
      <c r="K113" s="546">
        <v>0</v>
      </c>
      <c r="L113" s="546">
        <v>0</v>
      </c>
      <c r="M113" s="546">
        <v>0</v>
      </c>
      <c r="N113" s="546">
        <v>0</v>
      </c>
      <c r="O113" s="546">
        <v>0</v>
      </c>
      <c r="P113" s="546">
        <v>0</v>
      </c>
      <c r="Q113" s="546">
        <v>0</v>
      </c>
      <c r="R113" s="546">
        <v>0</v>
      </c>
      <c r="S113" s="546">
        <v>0</v>
      </c>
      <c r="T113" s="546">
        <v>0</v>
      </c>
      <c r="U113" s="546">
        <v>0</v>
      </c>
    </row>
    <row r="114" spans="1:21" ht="27.6" x14ac:dyDescent="0.25">
      <c r="A114" s="547" t="s">
        <v>862</v>
      </c>
      <c r="B114" s="548">
        <v>1860614270</v>
      </c>
      <c r="C114" s="548">
        <v>0</v>
      </c>
      <c r="D114" s="548">
        <v>1860614270</v>
      </c>
      <c r="E114" s="548">
        <v>0</v>
      </c>
      <c r="F114" s="548">
        <v>0</v>
      </c>
      <c r="G114" s="548">
        <v>0</v>
      </c>
      <c r="H114" s="548">
        <v>0</v>
      </c>
      <c r="I114" s="548">
        <v>0</v>
      </c>
      <c r="J114" s="548">
        <v>0</v>
      </c>
      <c r="K114" s="548">
        <v>0</v>
      </c>
      <c r="L114" s="548">
        <v>0</v>
      </c>
      <c r="M114" s="548">
        <v>0</v>
      </c>
      <c r="N114" s="548">
        <v>0</v>
      </c>
      <c r="O114" s="548">
        <v>0</v>
      </c>
      <c r="P114" s="548">
        <v>0</v>
      </c>
      <c r="Q114" s="548">
        <v>0</v>
      </c>
      <c r="R114" s="548">
        <v>0</v>
      </c>
      <c r="S114" s="548">
        <v>0</v>
      </c>
      <c r="T114" s="548">
        <v>0</v>
      </c>
      <c r="U114" s="548">
        <v>0</v>
      </c>
    </row>
    <row r="115" spans="1:21" ht="13.8" x14ac:dyDescent="0.25">
      <c r="A115" s="550" t="s">
        <v>863</v>
      </c>
      <c r="B115" s="551">
        <v>4000835223</v>
      </c>
      <c r="C115" s="551">
        <v>7649797</v>
      </c>
      <c r="D115" s="551">
        <v>3518786733</v>
      </c>
      <c r="E115" s="551">
        <v>271517</v>
      </c>
      <c r="F115" s="551">
        <v>5952660</v>
      </c>
      <c r="G115" s="551">
        <v>133235431</v>
      </c>
      <c r="H115" s="551">
        <v>66737080</v>
      </c>
      <c r="I115" s="551">
        <v>33966603</v>
      </c>
      <c r="J115" s="551">
        <v>29405680</v>
      </c>
      <c r="K115" s="551">
        <v>24896514</v>
      </c>
      <c r="L115" s="551">
        <v>14013479</v>
      </c>
      <c r="M115" s="551">
        <v>1358186</v>
      </c>
      <c r="N115" s="551">
        <v>3208120</v>
      </c>
      <c r="O115" s="551">
        <v>4493242</v>
      </c>
      <c r="P115" s="551">
        <v>17184657</v>
      </c>
      <c r="Q115" s="551">
        <v>1531995</v>
      </c>
      <c r="R115" s="551">
        <v>96977613</v>
      </c>
      <c r="S115" s="551">
        <v>32794123</v>
      </c>
      <c r="T115" s="551">
        <v>8371793</v>
      </c>
      <c r="U115" s="551">
        <v>0</v>
      </c>
    </row>
    <row r="117" spans="1:21" x14ac:dyDescent="0.25">
      <c r="B117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6C20-2650-440F-BD44-9BABB677C9F9}">
  <dimension ref="A1:Z230"/>
  <sheetViews>
    <sheetView topLeftCell="B1" workbookViewId="0">
      <selection activeCell="N101" sqref="N101"/>
    </sheetView>
  </sheetViews>
  <sheetFormatPr defaultRowHeight="13.2" x14ac:dyDescent="0.25"/>
  <cols>
    <col min="1" max="1" width="41" customWidth="1"/>
    <col min="2" max="26" width="32.77734375" customWidth="1"/>
  </cols>
  <sheetData>
    <row r="1" spans="1:7" ht="14.4" x14ac:dyDescent="0.3">
      <c r="A1" s="830" t="s">
        <v>300</v>
      </c>
      <c r="B1" s="830"/>
      <c r="C1" s="830"/>
      <c r="D1" s="830"/>
      <c r="E1" s="830"/>
      <c r="F1" s="830"/>
    </row>
    <row r="2" spans="1:7" ht="14.4" x14ac:dyDescent="0.3">
      <c r="A2" s="830" t="s">
        <v>739</v>
      </c>
      <c r="B2" s="830"/>
      <c r="C2" s="830"/>
      <c r="D2" s="830"/>
      <c r="E2" s="830"/>
      <c r="F2" s="830"/>
    </row>
    <row r="3" spans="1:7" ht="14.4" x14ac:dyDescent="0.3">
      <c r="A3" s="830" t="s">
        <v>741</v>
      </c>
      <c r="B3" s="830"/>
      <c r="C3" s="830"/>
      <c r="D3" s="830"/>
      <c r="E3" s="830"/>
      <c r="F3" s="830"/>
    </row>
    <row r="4" spans="1:7" ht="14.4" x14ac:dyDescent="0.3">
      <c r="A4" s="830" t="s">
        <v>887</v>
      </c>
      <c r="B4" s="830"/>
      <c r="C4" s="830"/>
      <c r="D4" s="830"/>
      <c r="E4" s="830"/>
      <c r="F4" s="830"/>
    </row>
    <row r="5" spans="1:7" x14ac:dyDescent="0.25">
      <c r="G5" s="3" t="s">
        <v>209</v>
      </c>
    </row>
    <row r="6" spans="1:7" x14ac:dyDescent="0.25">
      <c r="A6" s="83" t="s">
        <v>253</v>
      </c>
    </row>
    <row r="8" spans="1:7" s="3" customFormat="1" ht="62.4" x14ac:dyDescent="0.25">
      <c r="A8" s="544" t="s">
        <v>110</v>
      </c>
      <c r="B8" s="544" t="s">
        <v>38</v>
      </c>
      <c r="C8" s="544" t="s">
        <v>840</v>
      </c>
      <c r="D8" s="544" t="s">
        <v>888</v>
      </c>
      <c r="E8" s="544" t="s">
        <v>295</v>
      </c>
      <c r="F8" s="544" t="s">
        <v>889</v>
      </c>
      <c r="G8" s="544" t="s">
        <v>842</v>
      </c>
    </row>
    <row r="9" spans="1:7" ht="13.8" x14ac:dyDescent="0.25">
      <c r="A9" s="545" t="s">
        <v>890</v>
      </c>
      <c r="B9" s="546">
        <v>576885</v>
      </c>
      <c r="C9" s="546">
        <v>576885</v>
      </c>
      <c r="D9" s="546">
        <v>0</v>
      </c>
      <c r="E9" s="546">
        <v>0</v>
      </c>
      <c r="F9" s="546">
        <v>0</v>
      </c>
      <c r="G9" s="546">
        <v>0</v>
      </c>
    </row>
    <row r="10" spans="1:7" ht="13.8" x14ac:dyDescent="0.25">
      <c r="A10" s="545" t="s">
        <v>891</v>
      </c>
      <c r="B10" s="546">
        <v>576885</v>
      </c>
      <c r="C10" s="546">
        <v>576885</v>
      </c>
      <c r="D10" s="546">
        <v>0</v>
      </c>
      <c r="E10" s="546">
        <v>0</v>
      </c>
      <c r="F10" s="546">
        <v>0</v>
      </c>
      <c r="G10" s="546">
        <v>0</v>
      </c>
    </row>
    <row r="11" spans="1:7" ht="13.8" x14ac:dyDescent="0.25">
      <c r="A11" s="547" t="s">
        <v>892</v>
      </c>
      <c r="B11" s="548">
        <v>576885</v>
      </c>
      <c r="C11" s="548">
        <v>576885</v>
      </c>
      <c r="D11" s="548">
        <v>0</v>
      </c>
      <c r="E11" s="548">
        <v>0</v>
      </c>
      <c r="F11" s="548">
        <v>0</v>
      </c>
      <c r="G11" s="548">
        <v>0</v>
      </c>
    </row>
    <row r="12" spans="1:7" ht="41.4" x14ac:dyDescent="0.25">
      <c r="A12" s="547" t="s">
        <v>893</v>
      </c>
      <c r="B12" s="548">
        <v>191251</v>
      </c>
      <c r="C12" s="548">
        <v>191251</v>
      </c>
      <c r="D12" s="548">
        <v>0</v>
      </c>
      <c r="E12" s="548">
        <v>0</v>
      </c>
      <c r="F12" s="548">
        <v>0</v>
      </c>
      <c r="G12" s="548">
        <v>0</v>
      </c>
    </row>
    <row r="13" spans="1:7" ht="13.8" x14ac:dyDescent="0.25">
      <c r="A13" s="545" t="s">
        <v>894</v>
      </c>
      <c r="B13" s="546">
        <v>96295</v>
      </c>
      <c r="C13" s="546">
        <v>96295</v>
      </c>
      <c r="D13" s="546">
        <v>0</v>
      </c>
      <c r="E13" s="546">
        <v>0</v>
      </c>
      <c r="F13" s="546">
        <v>0</v>
      </c>
      <c r="G13" s="546">
        <v>0</v>
      </c>
    </row>
    <row r="14" spans="1:7" ht="27.6" x14ac:dyDescent="0.25">
      <c r="A14" s="545" t="s">
        <v>895</v>
      </c>
      <c r="B14" s="546">
        <v>94956</v>
      </c>
      <c r="C14" s="546">
        <v>94956</v>
      </c>
      <c r="D14" s="546">
        <v>0</v>
      </c>
      <c r="E14" s="546">
        <v>0</v>
      </c>
      <c r="F14" s="546">
        <v>0</v>
      </c>
      <c r="G14" s="546">
        <v>0</v>
      </c>
    </row>
    <row r="15" spans="1:7" ht="13.8" x14ac:dyDescent="0.25">
      <c r="A15" s="545" t="s">
        <v>896</v>
      </c>
      <c r="B15" s="546">
        <v>12000</v>
      </c>
      <c r="C15" s="546">
        <v>12000</v>
      </c>
      <c r="D15" s="546">
        <v>0</v>
      </c>
      <c r="E15" s="546">
        <v>0</v>
      </c>
      <c r="F15" s="546">
        <v>0</v>
      </c>
      <c r="G15" s="546">
        <v>0</v>
      </c>
    </row>
    <row r="16" spans="1:7" ht="13.8" x14ac:dyDescent="0.25">
      <c r="A16" s="545" t="s">
        <v>897</v>
      </c>
      <c r="B16" s="546">
        <v>12000</v>
      </c>
      <c r="C16" s="546">
        <v>12000</v>
      </c>
      <c r="D16" s="546">
        <v>0</v>
      </c>
      <c r="E16" s="546">
        <v>0</v>
      </c>
      <c r="F16" s="546">
        <v>0</v>
      </c>
      <c r="G16" s="546">
        <v>0</v>
      </c>
    </row>
    <row r="17" spans="1:7" ht="13.8" x14ac:dyDescent="0.25">
      <c r="A17" s="545" t="s">
        <v>898</v>
      </c>
      <c r="B17" s="546">
        <v>594596</v>
      </c>
      <c r="C17" s="546">
        <v>0</v>
      </c>
      <c r="D17" s="546">
        <v>594596</v>
      </c>
      <c r="E17" s="546">
        <v>0</v>
      </c>
      <c r="F17" s="546">
        <v>0</v>
      </c>
      <c r="G17" s="546">
        <v>0</v>
      </c>
    </row>
    <row r="18" spans="1:7" ht="13.8" x14ac:dyDescent="0.25">
      <c r="A18" s="545" t="s">
        <v>899</v>
      </c>
      <c r="B18" s="546">
        <v>22000</v>
      </c>
      <c r="C18" s="546">
        <v>22000</v>
      </c>
      <c r="D18" s="546">
        <v>0</v>
      </c>
      <c r="E18" s="546">
        <v>0</v>
      </c>
      <c r="F18" s="546">
        <v>0</v>
      </c>
      <c r="G18" s="546">
        <v>0</v>
      </c>
    </row>
    <row r="19" spans="1:7" ht="13.8" x14ac:dyDescent="0.25">
      <c r="A19" s="545" t="s">
        <v>900</v>
      </c>
      <c r="B19" s="546">
        <v>22000</v>
      </c>
      <c r="C19" s="546">
        <v>22000</v>
      </c>
      <c r="D19" s="546">
        <v>0</v>
      </c>
      <c r="E19" s="546">
        <v>0</v>
      </c>
      <c r="F19" s="546">
        <v>0</v>
      </c>
      <c r="G19" s="546">
        <v>0</v>
      </c>
    </row>
    <row r="20" spans="1:7" ht="13.8" x14ac:dyDescent="0.25">
      <c r="A20" s="545" t="s">
        <v>901</v>
      </c>
      <c r="B20" s="546">
        <v>3510145</v>
      </c>
      <c r="C20" s="546">
        <v>3510145</v>
      </c>
      <c r="D20" s="546">
        <v>0</v>
      </c>
      <c r="E20" s="546">
        <v>0</v>
      </c>
      <c r="F20" s="546">
        <v>0</v>
      </c>
      <c r="G20" s="546">
        <v>0</v>
      </c>
    </row>
    <row r="21" spans="1:7" ht="27.6" x14ac:dyDescent="0.25">
      <c r="A21" s="545" t="s">
        <v>902</v>
      </c>
      <c r="B21" s="546">
        <v>4126741</v>
      </c>
      <c r="C21" s="546">
        <v>3532145</v>
      </c>
      <c r="D21" s="546">
        <v>594596</v>
      </c>
      <c r="E21" s="546">
        <v>0</v>
      </c>
      <c r="F21" s="546">
        <v>0</v>
      </c>
      <c r="G21" s="546">
        <v>0</v>
      </c>
    </row>
    <row r="22" spans="1:7" ht="27.6" x14ac:dyDescent="0.25">
      <c r="A22" s="545" t="s">
        <v>903</v>
      </c>
      <c r="B22" s="546">
        <v>194046</v>
      </c>
      <c r="C22" s="546">
        <v>86015</v>
      </c>
      <c r="D22" s="546">
        <v>108031</v>
      </c>
      <c r="E22" s="546">
        <v>0</v>
      </c>
      <c r="F22" s="546">
        <v>0</v>
      </c>
      <c r="G22" s="546">
        <v>0</v>
      </c>
    </row>
    <row r="23" spans="1:7" ht="13.8" x14ac:dyDescent="0.25">
      <c r="A23" s="545" t="s">
        <v>904</v>
      </c>
      <c r="B23" s="546">
        <v>219234</v>
      </c>
      <c r="C23" s="546">
        <v>219234</v>
      </c>
      <c r="D23" s="546">
        <v>0</v>
      </c>
      <c r="E23" s="546">
        <v>0</v>
      </c>
      <c r="F23" s="546">
        <v>0</v>
      </c>
      <c r="G23" s="546">
        <v>0</v>
      </c>
    </row>
    <row r="24" spans="1:7" ht="27.6" x14ac:dyDescent="0.25">
      <c r="A24" s="545" t="s">
        <v>905</v>
      </c>
      <c r="B24" s="546">
        <v>413280</v>
      </c>
      <c r="C24" s="546">
        <v>305249</v>
      </c>
      <c r="D24" s="546">
        <v>108031</v>
      </c>
      <c r="E24" s="546">
        <v>0</v>
      </c>
      <c r="F24" s="546">
        <v>0</v>
      </c>
      <c r="G24" s="546">
        <v>0</v>
      </c>
    </row>
    <row r="25" spans="1:7" ht="13.8" x14ac:dyDescent="0.25">
      <c r="A25" s="547" t="s">
        <v>906</v>
      </c>
      <c r="B25" s="548">
        <v>4552021</v>
      </c>
      <c r="C25" s="548">
        <v>3849394</v>
      </c>
      <c r="D25" s="548">
        <v>702627</v>
      </c>
      <c r="E25" s="548">
        <v>0</v>
      </c>
      <c r="F25" s="548">
        <v>0</v>
      </c>
      <c r="G25" s="548">
        <v>0</v>
      </c>
    </row>
    <row r="26" spans="1:7" ht="27.6" x14ac:dyDescent="0.25">
      <c r="A26" s="545" t="s">
        <v>907</v>
      </c>
      <c r="B26" s="546">
        <v>11374362</v>
      </c>
      <c r="C26" s="546">
        <v>0</v>
      </c>
      <c r="D26" s="546">
        <v>0</v>
      </c>
      <c r="E26" s="546">
        <v>11374362</v>
      </c>
      <c r="F26" s="546">
        <v>0</v>
      </c>
      <c r="G26" s="546">
        <v>0</v>
      </c>
    </row>
    <row r="27" spans="1:7" ht="27.6" x14ac:dyDescent="0.25">
      <c r="A27" s="545" t="s">
        <v>908</v>
      </c>
      <c r="B27" s="546">
        <v>7774362</v>
      </c>
      <c r="C27" s="546">
        <v>0</v>
      </c>
      <c r="D27" s="546">
        <v>0</v>
      </c>
      <c r="E27" s="546">
        <v>7774362</v>
      </c>
      <c r="F27" s="546">
        <v>0</v>
      </c>
      <c r="G27" s="546">
        <v>0</v>
      </c>
    </row>
    <row r="28" spans="1:7" ht="27.6" x14ac:dyDescent="0.25">
      <c r="A28" s="545" t="s">
        <v>909</v>
      </c>
      <c r="B28" s="546">
        <v>3600000</v>
      </c>
      <c r="C28" s="546">
        <v>0</v>
      </c>
      <c r="D28" s="546">
        <v>0</v>
      </c>
      <c r="E28" s="546">
        <v>3600000</v>
      </c>
      <c r="F28" s="546">
        <v>0</v>
      </c>
      <c r="G28" s="546">
        <v>0</v>
      </c>
    </row>
    <row r="29" spans="1:7" ht="27.6" x14ac:dyDescent="0.25">
      <c r="A29" s="545" t="s">
        <v>910</v>
      </c>
      <c r="B29" s="546">
        <v>850000</v>
      </c>
      <c r="C29" s="546">
        <v>0</v>
      </c>
      <c r="D29" s="546">
        <v>0</v>
      </c>
      <c r="E29" s="546">
        <v>0</v>
      </c>
      <c r="F29" s="546">
        <v>850000</v>
      </c>
      <c r="G29" s="546">
        <v>0</v>
      </c>
    </row>
    <row r="30" spans="1:7" ht="13.8" x14ac:dyDescent="0.25">
      <c r="A30" s="545" t="s">
        <v>911</v>
      </c>
      <c r="B30" s="546">
        <v>850000</v>
      </c>
      <c r="C30" s="546">
        <v>0</v>
      </c>
      <c r="D30" s="546">
        <v>0</v>
      </c>
      <c r="E30" s="546">
        <v>0</v>
      </c>
      <c r="F30" s="546">
        <v>850000</v>
      </c>
      <c r="G30" s="546">
        <v>0</v>
      </c>
    </row>
    <row r="31" spans="1:7" ht="41.4" x14ac:dyDescent="0.25">
      <c r="A31" s="547" t="s">
        <v>912</v>
      </c>
      <c r="B31" s="548">
        <v>12224362</v>
      </c>
      <c r="C31" s="548">
        <v>0</v>
      </c>
      <c r="D31" s="548">
        <v>0</v>
      </c>
      <c r="E31" s="548">
        <v>11374362</v>
      </c>
      <c r="F31" s="548">
        <v>850000</v>
      </c>
      <c r="G31" s="548">
        <v>0</v>
      </c>
    </row>
    <row r="32" spans="1:7" ht="13.8" x14ac:dyDescent="0.25">
      <c r="A32" s="545" t="s">
        <v>913</v>
      </c>
      <c r="B32" s="546">
        <v>24603704</v>
      </c>
      <c r="C32" s="546">
        <v>0</v>
      </c>
      <c r="D32" s="546">
        <v>24603704</v>
      </c>
      <c r="E32" s="546">
        <v>0</v>
      </c>
      <c r="F32" s="546">
        <v>0</v>
      </c>
      <c r="G32" s="546">
        <v>0</v>
      </c>
    </row>
    <row r="33" spans="1:7" ht="27.6" x14ac:dyDescent="0.25">
      <c r="A33" s="545" t="s">
        <v>914</v>
      </c>
      <c r="B33" s="546">
        <v>5419897</v>
      </c>
      <c r="C33" s="546">
        <v>0</v>
      </c>
      <c r="D33" s="546">
        <v>5419897</v>
      </c>
      <c r="E33" s="546">
        <v>0</v>
      </c>
      <c r="F33" s="546">
        <v>0</v>
      </c>
      <c r="G33" s="546">
        <v>0</v>
      </c>
    </row>
    <row r="34" spans="1:7" ht="13.8" x14ac:dyDescent="0.25">
      <c r="A34" s="547" t="s">
        <v>915</v>
      </c>
      <c r="B34" s="548">
        <v>30023601</v>
      </c>
      <c r="C34" s="548">
        <v>0</v>
      </c>
      <c r="D34" s="548">
        <v>30023601</v>
      </c>
      <c r="E34" s="548">
        <v>0</v>
      </c>
      <c r="F34" s="548">
        <v>0</v>
      </c>
      <c r="G34" s="548">
        <v>0</v>
      </c>
    </row>
    <row r="35" spans="1:7" ht="27.6" x14ac:dyDescent="0.25">
      <c r="A35" s="547" t="s">
        <v>916</v>
      </c>
      <c r="B35" s="548">
        <v>47568120</v>
      </c>
      <c r="C35" s="548">
        <v>4617530</v>
      </c>
      <c r="D35" s="548">
        <v>30726228</v>
      </c>
      <c r="E35" s="548">
        <v>11374362</v>
      </c>
      <c r="F35" s="548">
        <v>850000</v>
      </c>
      <c r="G35" s="548">
        <v>0</v>
      </c>
    </row>
    <row r="36" spans="1:7" ht="27.6" x14ac:dyDescent="0.25">
      <c r="A36" s="545" t="s">
        <v>917</v>
      </c>
      <c r="B36" s="546">
        <v>1506178551</v>
      </c>
      <c r="C36" s="546">
        <v>0</v>
      </c>
      <c r="D36" s="546">
        <v>0</v>
      </c>
      <c r="E36" s="546">
        <v>1506178551</v>
      </c>
      <c r="F36" s="546">
        <v>0</v>
      </c>
      <c r="G36" s="546">
        <v>0</v>
      </c>
    </row>
    <row r="37" spans="1:7" ht="27.6" x14ac:dyDescent="0.25">
      <c r="A37" s="545" t="s">
        <v>918</v>
      </c>
      <c r="B37" s="546">
        <v>1506178551</v>
      </c>
      <c r="C37" s="546">
        <v>0</v>
      </c>
      <c r="D37" s="546">
        <v>0</v>
      </c>
      <c r="E37" s="546">
        <v>1506178551</v>
      </c>
      <c r="F37" s="546">
        <v>0</v>
      </c>
      <c r="G37" s="546">
        <v>0</v>
      </c>
    </row>
    <row r="38" spans="1:7" ht="13.8" x14ac:dyDescent="0.25">
      <c r="A38" s="547" t="s">
        <v>919</v>
      </c>
      <c r="B38" s="548">
        <v>1506178551</v>
      </c>
      <c r="C38" s="548">
        <v>0</v>
      </c>
      <c r="D38" s="548">
        <v>0</v>
      </c>
      <c r="E38" s="548">
        <v>1506178551</v>
      </c>
      <c r="F38" s="548">
        <v>0</v>
      </c>
      <c r="G38" s="548">
        <v>0</v>
      </c>
    </row>
    <row r="39" spans="1:7" ht="13.8" x14ac:dyDescent="0.25">
      <c r="A39" s="550" t="s">
        <v>920</v>
      </c>
      <c r="B39" s="551">
        <v>1553746671</v>
      </c>
      <c r="C39" s="551">
        <v>4617530</v>
      </c>
      <c r="D39" s="551">
        <v>30726228</v>
      </c>
      <c r="E39" s="551">
        <v>1517552913</v>
      </c>
      <c r="F39" s="551">
        <v>850000</v>
      </c>
      <c r="G39" s="551">
        <v>0</v>
      </c>
    </row>
    <row r="42" spans="1:7" x14ac:dyDescent="0.25">
      <c r="A42" s="83" t="s">
        <v>775</v>
      </c>
    </row>
    <row r="44" spans="1:7" ht="46.8" x14ac:dyDescent="0.25">
      <c r="A44" s="544" t="s">
        <v>110</v>
      </c>
      <c r="B44" s="544" t="s">
        <v>38</v>
      </c>
      <c r="C44" s="544" t="s">
        <v>864</v>
      </c>
      <c r="D44" s="544" t="s">
        <v>865</v>
      </c>
      <c r="E44" s="544" t="s">
        <v>866</v>
      </c>
      <c r="F44" s="544" t="s">
        <v>842</v>
      </c>
    </row>
    <row r="45" spans="1:7" ht="13.8" x14ac:dyDescent="0.25">
      <c r="A45" s="545" t="s">
        <v>921</v>
      </c>
      <c r="B45" s="546">
        <v>302472599</v>
      </c>
      <c r="C45" s="546">
        <v>36625330</v>
      </c>
      <c r="D45" s="546">
        <v>124097605</v>
      </c>
      <c r="E45" s="546">
        <v>141749664</v>
      </c>
      <c r="F45" s="546">
        <v>0</v>
      </c>
    </row>
    <row r="46" spans="1:7" ht="13.8" x14ac:dyDescent="0.25">
      <c r="A46" s="545" t="s">
        <v>922</v>
      </c>
      <c r="B46" s="546">
        <v>26248013</v>
      </c>
      <c r="C46" s="546">
        <v>2562614</v>
      </c>
      <c r="D46" s="546">
        <v>10373416</v>
      </c>
      <c r="E46" s="546">
        <v>13311983</v>
      </c>
      <c r="F46" s="546">
        <v>0</v>
      </c>
    </row>
    <row r="47" spans="1:7" ht="27.6" x14ac:dyDescent="0.25">
      <c r="A47" s="545" t="s">
        <v>923</v>
      </c>
      <c r="B47" s="546">
        <v>4078293</v>
      </c>
      <c r="C47" s="546">
        <v>2697043</v>
      </c>
      <c r="D47" s="546">
        <v>906250</v>
      </c>
      <c r="E47" s="546">
        <v>475000</v>
      </c>
      <c r="F47" s="546">
        <v>0</v>
      </c>
    </row>
    <row r="48" spans="1:7" ht="13.8" x14ac:dyDescent="0.25">
      <c r="A48" s="545" t="s">
        <v>924</v>
      </c>
      <c r="B48" s="546">
        <v>1467000</v>
      </c>
      <c r="C48" s="546">
        <v>0</v>
      </c>
      <c r="D48" s="546">
        <v>0</v>
      </c>
      <c r="E48" s="546">
        <v>1467000</v>
      </c>
      <c r="F48" s="546">
        <v>0</v>
      </c>
    </row>
    <row r="49" spans="1:6" ht="13.8" x14ac:dyDescent="0.25">
      <c r="A49" s="545" t="s">
        <v>925</v>
      </c>
      <c r="B49" s="546">
        <v>11994071</v>
      </c>
      <c r="C49" s="546">
        <v>1504092</v>
      </c>
      <c r="D49" s="546">
        <v>4760983</v>
      </c>
      <c r="E49" s="546">
        <v>5728996</v>
      </c>
      <c r="F49" s="546">
        <v>0</v>
      </c>
    </row>
    <row r="50" spans="1:6" ht="13.8" x14ac:dyDescent="0.25">
      <c r="A50" s="545" t="s">
        <v>926</v>
      </c>
      <c r="B50" s="546">
        <v>6389195</v>
      </c>
      <c r="C50" s="546">
        <v>215364</v>
      </c>
      <c r="D50" s="546">
        <v>4125779</v>
      </c>
      <c r="E50" s="546">
        <v>2048052</v>
      </c>
      <c r="F50" s="546">
        <v>0</v>
      </c>
    </row>
    <row r="51" spans="1:6" ht="27.6" x14ac:dyDescent="0.25">
      <c r="A51" s="545" t="s">
        <v>927</v>
      </c>
      <c r="B51" s="546">
        <v>6475548</v>
      </c>
      <c r="C51" s="546">
        <v>734029</v>
      </c>
      <c r="D51" s="546">
        <v>2311044</v>
      </c>
      <c r="E51" s="546">
        <v>3430475</v>
      </c>
      <c r="F51" s="546">
        <v>0</v>
      </c>
    </row>
    <row r="52" spans="1:6" ht="27.6" x14ac:dyDescent="0.25">
      <c r="A52" s="545" t="s">
        <v>928</v>
      </c>
      <c r="B52" s="546">
        <v>359124719</v>
      </c>
      <c r="C52" s="546">
        <v>44338472</v>
      </c>
      <c r="D52" s="546">
        <v>146575077</v>
      </c>
      <c r="E52" s="546">
        <v>168211170</v>
      </c>
      <c r="F52" s="546">
        <v>0</v>
      </c>
    </row>
    <row r="53" spans="1:6" ht="27.6" x14ac:dyDescent="0.25">
      <c r="A53" s="545" t="s">
        <v>929</v>
      </c>
      <c r="B53" s="546">
        <v>1023060</v>
      </c>
      <c r="C53" s="546">
        <v>1023060</v>
      </c>
      <c r="D53" s="546">
        <v>0</v>
      </c>
      <c r="E53" s="546">
        <v>0</v>
      </c>
      <c r="F53" s="546">
        <v>0</v>
      </c>
    </row>
    <row r="54" spans="1:6" ht="13.8" x14ac:dyDescent="0.25">
      <c r="A54" s="545" t="s">
        <v>890</v>
      </c>
      <c r="B54" s="546">
        <v>827900</v>
      </c>
      <c r="C54" s="546">
        <v>0</v>
      </c>
      <c r="D54" s="546">
        <v>0</v>
      </c>
      <c r="E54" s="546">
        <v>827900</v>
      </c>
      <c r="F54" s="546">
        <v>0</v>
      </c>
    </row>
    <row r="55" spans="1:6" ht="13.8" x14ac:dyDescent="0.25">
      <c r="A55" s="545" t="s">
        <v>891</v>
      </c>
      <c r="B55" s="546">
        <v>1850960</v>
      </c>
      <c r="C55" s="546">
        <v>1023060</v>
      </c>
      <c r="D55" s="546">
        <v>0</v>
      </c>
      <c r="E55" s="546">
        <v>827900</v>
      </c>
      <c r="F55" s="546">
        <v>0</v>
      </c>
    </row>
    <row r="56" spans="1:6" ht="13.8" x14ac:dyDescent="0.25">
      <c r="A56" s="547" t="s">
        <v>892</v>
      </c>
      <c r="B56" s="548">
        <v>360975679</v>
      </c>
      <c r="C56" s="548">
        <v>45361532</v>
      </c>
      <c r="D56" s="548">
        <v>146575077</v>
      </c>
      <c r="E56" s="548">
        <v>169039070</v>
      </c>
      <c r="F56" s="548">
        <v>0</v>
      </c>
    </row>
    <row r="57" spans="1:6" ht="41.4" x14ac:dyDescent="0.25">
      <c r="A57" s="547" t="s">
        <v>893</v>
      </c>
      <c r="B57" s="548">
        <v>53980770</v>
      </c>
      <c r="C57" s="548">
        <v>6684416</v>
      </c>
      <c r="D57" s="548">
        <v>22188688</v>
      </c>
      <c r="E57" s="548">
        <v>25107666</v>
      </c>
      <c r="F57" s="548">
        <v>0</v>
      </c>
    </row>
    <row r="58" spans="1:6" ht="13.8" x14ac:dyDescent="0.25">
      <c r="A58" s="545" t="s">
        <v>894</v>
      </c>
      <c r="B58" s="546">
        <v>46303000</v>
      </c>
      <c r="C58" s="546">
        <v>5744150</v>
      </c>
      <c r="D58" s="546">
        <v>18784647</v>
      </c>
      <c r="E58" s="546">
        <v>21774203</v>
      </c>
      <c r="F58" s="546">
        <v>0</v>
      </c>
    </row>
    <row r="59" spans="1:6" ht="13.8" x14ac:dyDescent="0.25">
      <c r="A59" s="545" t="s">
        <v>930</v>
      </c>
      <c r="B59" s="546">
        <v>3544000</v>
      </c>
      <c r="C59" s="546">
        <v>708800</v>
      </c>
      <c r="D59" s="546">
        <v>1772000</v>
      </c>
      <c r="E59" s="546">
        <v>1063200</v>
      </c>
      <c r="F59" s="546">
        <v>0</v>
      </c>
    </row>
    <row r="60" spans="1:6" ht="13.8" x14ac:dyDescent="0.25">
      <c r="A60" s="545" t="s">
        <v>931</v>
      </c>
      <c r="B60" s="546">
        <v>2205770</v>
      </c>
      <c r="C60" s="546">
        <v>5853</v>
      </c>
      <c r="D60" s="546">
        <v>917895</v>
      </c>
      <c r="E60" s="546">
        <v>1282022</v>
      </c>
      <c r="F60" s="546">
        <v>0</v>
      </c>
    </row>
    <row r="61" spans="1:6" ht="27.6" x14ac:dyDescent="0.25">
      <c r="A61" s="545" t="s">
        <v>895</v>
      </c>
      <c r="B61" s="546">
        <v>1928000</v>
      </c>
      <c r="C61" s="546">
        <v>225613</v>
      </c>
      <c r="D61" s="546">
        <v>714146</v>
      </c>
      <c r="E61" s="546">
        <v>988241</v>
      </c>
      <c r="F61" s="546">
        <v>0</v>
      </c>
    </row>
    <row r="62" spans="1:6" ht="13.8" x14ac:dyDescent="0.25">
      <c r="A62" s="545" t="s">
        <v>932</v>
      </c>
      <c r="B62" s="546">
        <v>257975</v>
      </c>
      <c r="C62" s="546">
        <v>0</v>
      </c>
      <c r="D62" s="546">
        <v>243931</v>
      </c>
      <c r="E62" s="546">
        <v>14044</v>
      </c>
      <c r="F62" s="546">
        <v>0</v>
      </c>
    </row>
    <row r="63" spans="1:6" ht="13.8" x14ac:dyDescent="0.25">
      <c r="A63" s="545" t="s">
        <v>933</v>
      </c>
      <c r="B63" s="546">
        <v>3398607</v>
      </c>
      <c r="C63" s="546">
        <v>859748</v>
      </c>
      <c r="D63" s="546">
        <v>1336114</v>
      </c>
      <c r="E63" s="546">
        <v>1202745</v>
      </c>
      <c r="F63" s="546">
        <v>0</v>
      </c>
    </row>
    <row r="64" spans="1:6" ht="13.8" x14ac:dyDescent="0.25">
      <c r="A64" s="545" t="s">
        <v>934</v>
      </c>
      <c r="B64" s="546">
        <v>3656582</v>
      </c>
      <c r="C64" s="546">
        <v>859748</v>
      </c>
      <c r="D64" s="546">
        <v>1580045</v>
      </c>
      <c r="E64" s="546">
        <v>1216789</v>
      </c>
      <c r="F64" s="546">
        <v>0</v>
      </c>
    </row>
    <row r="65" spans="1:6" ht="13.8" x14ac:dyDescent="0.25">
      <c r="A65" s="545" t="s">
        <v>896</v>
      </c>
      <c r="B65" s="546">
        <v>4983128</v>
      </c>
      <c r="C65" s="546">
        <v>766279</v>
      </c>
      <c r="D65" s="546">
        <v>2594397</v>
      </c>
      <c r="E65" s="546">
        <v>1622452</v>
      </c>
      <c r="F65" s="546">
        <v>0</v>
      </c>
    </row>
    <row r="66" spans="1:6" ht="13.8" x14ac:dyDescent="0.25">
      <c r="A66" s="545" t="s">
        <v>935</v>
      </c>
      <c r="B66" s="546">
        <v>1083632</v>
      </c>
      <c r="C66" s="546">
        <v>154058</v>
      </c>
      <c r="D66" s="546">
        <v>440618</v>
      </c>
      <c r="E66" s="546">
        <v>488956</v>
      </c>
      <c r="F66" s="546">
        <v>0</v>
      </c>
    </row>
    <row r="67" spans="1:6" ht="13.8" x14ac:dyDescent="0.25">
      <c r="A67" s="545" t="s">
        <v>897</v>
      </c>
      <c r="B67" s="546">
        <v>6066760</v>
      </c>
      <c r="C67" s="546">
        <v>920337</v>
      </c>
      <c r="D67" s="546">
        <v>3035015</v>
      </c>
      <c r="E67" s="546">
        <v>2111408</v>
      </c>
      <c r="F67" s="546">
        <v>0</v>
      </c>
    </row>
    <row r="68" spans="1:6" ht="13.8" x14ac:dyDescent="0.25">
      <c r="A68" s="545" t="s">
        <v>936</v>
      </c>
      <c r="B68" s="546">
        <v>371881</v>
      </c>
      <c r="C68" s="546">
        <v>159299</v>
      </c>
      <c r="D68" s="546">
        <v>127550</v>
      </c>
      <c r="E68" s="546">
        <v>85032</v>
      </c>
      <c r="F68" s="546">
        <v>0</v>
      </c>
    </row>
    <row r="69" spans="1:6" ht="13.8" x14ac:dyDescent="0.25">
      <c r="A69" s="545" t="s">
        <v>937</v>
      </c>
      <c r="B69" s="546">
        <v>2331174</v>
      </c>
      <c r="C69" s="546">
        <v>1507827</v>
      </c>
      <c r="D69" s="546">
        <v>494007</v>
      </c>
      <c r="E69" s="546">
        <v>329340</v>
      </c>
      <c r="F69" s="546">
        <v>0</v>
      </c>
    </row>
    <row r="70" spans="1:6" ht="13.8" x14ac:dyDescent="0.25">
      <c r="A70" s="545" t="s">
        <v>938</v>
      </c>
      <c r="B70" s="546">
        <v>428879</v>
      </c>
      <c r="C70" s="546">
        <v>115790</v>
      </c>
      <c r="D70" s="546">
        <v>187854</v>
      </c>
      <c r="E70" s="546">
        <v>125235</v>
      </c>
      <c r="F70" s="546">
        <v>0</v>
      </c>
    </row>
    <row r="71" spans="1:6" ht="13.8" x14ac:dyDescent="0.25">
      <c r="A71" s="545" t="s">
        <v>939</v>
      </c>
      <c r="B71" s="546">
        <v>3131934</v>
      </c>
      <c r="C71" s="546">
        <v>1782916</v>
      </c>
      <c r="D71" s="546">
        <v>809411</v>
      </c>
      <c r="E71" s="546">
        <v>539607</v>
      </c>
      <c r="F71" s="546">
        <v>0</v>
      </c>
    </row>
    <row r="72" spans="1:6" ht="13.8" x14ac:dyDescent="0.25">
      <c r="A72" s="545" t="s">
        <v>940</v>
      </c>
      <c r="B72" s="546">
        <v>5021404</v>
      </c>
      <c r="C72" s="546">
        <v>3911878</v>
      </c>
      <c r="D72" s="546">
        <v>0</v>
      </c>
      <c r="E72" s="546">
        <v>1109526</v>
      </c>
      <c r="F72" s="546">
        <v>0</v>
      </c>
    </row>
    <row r="73" spans="1:6" ht="13.8" x14ac:dyDescent="0.25">
      <c r="A73" s="545" t="s">
        <v>941</v>
      </c>
      <c r="B73" s="546">
        <v>105943</v>
      </c>
      <c r="C73" s="546">
        <v>23490</v>
      </c>
      <c r="D73" s="546">
        <v>39740</v>
      </c>
      <c r="E73" s="546">
        <v>42713</v>
      </c>
      <c r="F73" s="546">
        <v>0</v>
      </c>
    </row>
    <row r="74" spans="1:6" ht="13.8" x14ac:dyDescent="0.25">
      <c r="A74" s="545" t="s">
        <v>898</v>
      </c>
      <c r="B74" s="546">
        <v>958755</v>
      </c>
      <c r="C74" s="546">
        <v>314020</v>
      </c>
      <c r="D74" s="546">
        <v>387092</v>
      </c>
      <c r="E74" s="546">
        <v>257643</v>
      </c>
      <c r="F74" s="546">
        <v>0</v>
      </c>
    </row>
    <row r="75" spans="1:6" ht="13.8" x14ac:dyDescent="0.25">
      <c r="A75" s="545" t="s">
        <v>899</v>
      </c>
      <c r="B75" s="546">
        <v>4016</v>
      </c>
      <c r="C75" s="546">
        <v>0</v>
      </c>
      <c r="D75" s="546">
        <v>0</v>
      </c>
      <c r="E75" s="546">
        <v>4016</v>
      </c>
      <c r="F75" s="546">
        <v>0</v>
      </c>
    </row>
    <row r="76" spans="1:6" ht="13.8" x14ac:dyDescent="0.25">
      <c r="A76" s="545" t="s">
        <v>900</v>
      </c>
      <c r="B76" s="546">
        <v>4016</v>
      </c>
      <c r="C76" s="546">
        <v>0</v>
      </c>
      <c r="D76" s="546">
        <v>0</v>
      </c>
      <c r="E76" s="546">
        <v>4016</v>
      </c>
      <c r="F76" s="546">
        <v>0</v>
      </c>
    </row>
    <row r="77" spans="1:6" ht="27.6" x14ac:dyDescent="0.25">
      <c r="A77" s="545" t="s">
        <v>942</v>
      </c>
      <c r="B77" s="546">
        <v>7635810</v>
      </c>
      <c r="C77" s="546">
        <v>1455710</v>
      </c>
      <c r="D77" s="546">
        <v>3596000</v>
      </c>
      <c r="E77" s="546">
        <v>2584100</v>
      </c>
      <c r="F77" s="546">
        <v>0</v>
      </c>
    </row>
    <row r="78" spans="1:6" ht="13.8" x14ac:dyDescent="0.25">
      <c r="A78" s="545" t="s">
        <v>901</v>
      </c>
      <c r="B78" s="546">
        <v>3745301</v>
      </c>
      <c r="C78" s="546">
        <v>471822</v>
      </c>
      <c r="D78" s="546">
        <v>971011</v>
      </c>
      <c r="E78" s="546">
        <v>2302468</v>
      </c>
      <c r="F78" s="546">
        <v>0</v>
      </c>
    </row>
    <row r="79" spans="1:6" ht="13.8" x14ac:dyDescent="0.25">
      <c r="A79" s="545" t="s">
        <v>943</v>
      </c>
      <c r="B79" s="546">
        <v>354489</v>
      </c>
      <c r="C79" s="546">
        <v>51822</v>
      </c>
      <c r="D79" s="546">
        <v>186782</v>
      </c>
      <c r="E79" s="546">
        <v>115885</v>
      </c>
      <c r="F79" s="546">
        <v>0</v>
      </c>
    </row>
    <row r="80" spans="1:6" ht="27.6" x14ac:dyDescent="0.25">
      <c r="A80" s="545" t="s">
        <v>902</v>
      </c>
      <c r="B80" s="546">
        <v>20603163</v>
      </c>
      <c r="C80" s="546">
        <v>7959836</v>
      </c>
      <c r="D80" s="546">
        <v>5803254</v>
      </c>
      <c r="E80" s="546">
        <v>6840073</v>
      </c>
      <c r="F80" s="546">
        <v>0</v>
      </c>
    </row>
    <row r="81" spans="1:6" ht="13.8" x14ac:dyDescent="0.25">
      <c r="A81" s="545" t="s">
        <v>944</v>
      </c>
      <c r="B81" s="546">
        <v>1655002</v>
      </c>
      <c r="C81" s="546">
        <v>11136</v>
      </c>
      <c r="D81" s="546">
        <v>895462</v>
      </c>
      <c r="E81" s="546">
        <v>748404</v>
      </c>
      <c r="F81" s="546">
        <v>0</v>
      </c>
    </row>
    <row r="82" spans="1:6" ht="27.6" x14ac:dyDescent="0.25">
      <c r="A82" s="545" t="s">
        <v>945</v>
      </c>
      <c r="B82" s="546">
        <v>1655002</v>
      </c>
      <c r="C82" s="546">
        <v>11136</v>
      </c>
      <c r="D82" s="546">
        <v>895462</v>
      </c>
      <c r="E82" s="546">
        <v>748404</v>
      </c>
      <c r="F82" s="546">
        <v>0</v>
      </c>
    </row>
    <row r="83" spans="1:6" ht="27.6" x14ac:dyDescent="0.25">
      <c r="A83" s="545" t="s">
        <v>903</v>
      </c>
      <c r="B83" s="546">
        <v>5174227</v>
      </c>
      <c r="C83" s="546">
        <v>2096131</v>
      </c>
      <c r="D83" s="546">
        <v>1425976</v>
      </c>
      <c r="E83" s="546">
        <v>1652120</v>
      </c>
      <c r="F83" s="546">
        <v>0</v>
      </c>
    </row>
    <row r="84" spans="1:6" ht="13.8" x14ac:dyDescent="0.25">
      <c r="A84" s="545" t="s">
        <v>904</v>
      </c>
      <c r="B84" s="546">
        <v>294348</v>
      </c>
      <c r="C84" s="546">
        <v>56334</v>
      </c>
      <c r="D84" s="546">
        <v>140835</v>
      </c>
      <c r="E84" s="546">
        <v>97179</v>
      </c>
      <c r="F84" s="546">
        <v>0</v>
      </c>
    </row>
    <row r="85" spans="1:6" ht="27.6" x14ac:dyDescent="0.25">
      <c r="A85" s="545" t="s">
        <v>905</v>
      </c>
      <c r="B85" s="546">
        <v>5468575</v>
      </c>
      <c r="C85" s="546">
        <v>2152465</v>
      </c>
      <c r="D85" s="546">
        <v>1566811</v>
      </c>
      <c r="E85" s="546">
        <v>1749299</v>
      </c>
      <c r="F85" s="546">
        <v>0</v>
      </c>
    </row>
    <row r="86" spans="1:6" ht="13.8" x14ac:dyDescent="0.25">
      <c r="A86" s="547" t="s">
        <v>906</v>
      </c>
      <c r="B86" s="548">
        <v>37450082</v>
      </c>
      <c r="C86" s="548">
        <v>11903522</v>
      </c>
      <c r="D86" s="548">
        <v>12880587</v>
      </c>
      <c r="E86" s="548">
        <v>12665973</v>
      </c>
      <c r="F86" s="548">
        <v>0</v>
      </c>
    </row>
    <row r="87" spans="1:6" ht="27.6" x14ac:dyDescent="0.25">
      <c r="A87" s="545" t="s">
        <v>946</v>
      </c>
      <c r="B87" s="546">
        <v>206235</v>
      </c>
      <c r="C87" s="546">
        <v>206235</v>
      </c>
      <c r="D87" s="546">
        <v>0</v>
      </c>
      <c r="E87" s="546">
        <v>0</v>
      </c>
      <c r="F87" s="546">
        <v>0</v>
      </c>
    </row>
    <row r="88" spans="1:6" ht="27.6" x14ac:dyDescent="0.25">
      <c r="A88" s="547" t="s">
        <v>947</v>
      </c>
      <c r="B88" s="548">
        <v>206235</v>
      </c>
      <c r="C88" s="548">
        <v>206235</v>
      </c>
      <c r="D88" s="548">
        <v>0</v>
      </c>
      <c r="E88" s="548">
        <v>0</v>
      </c>
      <c r="F88" s="548">
        <v>0</v>
      </c>
    </row>
    <row r="89" spans="1:6" ht="13.8" x14ac:dyDescent="0.25">
      <c r="A89" s="545" t="s">
        <v>948</v>
      </c>
      <c r="B89" s="546">
        <v>117700</v>
      </c>
      <c r="C89" s="546">
        <v>0</v>
      </c>
      <c r="D89" s="546">
        <v>77800</v>
      </c>
      <c r="E89" s="546">
        <v>39900</v>
      </c>
      <c r="F89" s="546">
        <v>0</v>
      </c>
    </row>
    <row r="90" spans="1:6" ht="13.8" x14ac:dyDescent="0.25">
      <c r="A90" s="545" t="s">
        <v>949</v>
      </c>
      <c r="B90" s="546">
        <v>251800</v>
      </c>
      <c r="C90" s="546">
        <v>0</v>
      </c>
      <c r="D90" s="546">
        <v>0</v>
      </c>
      <c r="E90" s="546">
        <v>251800</v>
      </c>
      <c r="F90" s="546">
        <v>0</v>
      </c>
    </row>
    <row r="91" spans="1:6" ht="13.8" x14ac:dyDescent="0.25">
      <c r="A91" s="545" t="s">
        <v>950</v>
      </c>
      <c r="B91" s="546">
        <v>921296</v>
      </c>
      <c r="C91" s="546">
        <v>238481</v>
      </c>
      <c r="D91" s="546">
        <v>35188</v>
      </c>
      <c r="E91" s="546">
        <v>647627</v>
      </c>
      <c r="F91" s="546">
        <v>0</v>
      </c>
    </row>
    <row r="92" spans="1:6" ht="27.6" x14ac:dyDescent="0.25">
      <c r="A92" s="545" t="s">
        <v>951</v>
      </c>
      <c r="B92" s="546">
        <v>333935</v>
      </c>
      <c r="C92" s="546">
        <v>64390</v>
      </c>
      <c r="D92" s="546">
        <v>30506</v>
      </c>
      <c r="E92" s="546">
        <v>239039</v>
      </c>
      <c r="F92" s="546">
        <v>0</v>
      </c>
    </row>
    <row r="93" spans="1:6" ht="27.6" x14ac:dyDescent="0.25">
      <c r="A93" s="547" t="s">
        <v>952</v>
      </c>
      <c r="B93" s="548">
        <v>1624731</v>
      </c>
      <c r="C93" s="548">
        <v>302871</v>
      </c>
      <c r="D93" s="548">
        <v>143494</v>
      </c>
      <c r="E93" s="548">
        <v>1178366</v>
      </c>
      <c r="F93" s="548">
        <v>0</v>
      </c>
    </row>
    <row r="94" spans="1:6" ht="27.6" x14ac:dyDescent="0.25">
      <c r="A94" s="547" t="s">
        <v>916</v>
      </c>
      <c r="B94" s="548">
        <v>454237497</v>
      </c>
      <c r="C94" s="548">
        <v>64458576</v>
      </c>
      <c r="D94" s="548">
        <v>181787846</v>
      </c>
      <c r="E94" s="548">
        <v>207991075</v>
      </c>
      <c r="F94" s="548">
        <v>0</v>
      </c>
    </row>
    <row r="95" spans="1:6" ht="13.8" x14ac:dyDescent="0.25">
      <c r="A95" s="550" t="s">
        <v>920</v>
      </c>
      <c r="B95" s="551">
        <v>454237497</v>
      </c>
      <c r="C95" s="551">
        <v>64458576</v>
      </c>
      <c r="D95" s="551">
        <v>181787846</v>
      </c>
      <c r="E95" s="551">
        <v>207991075</v>
      </c>
      <c r="F95" s="551">
        <v>0</v>
      </c>
    </row>
    <row r="96" spans="1:6" ht="13.8" x14ac:dyDescent="0.25">
      <c r="A96" s="558" t="s">
        <v>953</v>
      </c>
      <c r="B96" s="559">
        <v>50</v>
      </c>
      <c r="C96" s="559">
        <v>8</v>
      </c>
      <c r="D96" s="559">
        <v>20</v>
      </c>
      <c r="E96" s="559">
        <v>22</v>
      </c>
      <c r="F96" s="559">
        <v>0</v>
      </c>
    </row>
    <row r="99" spans="1:20" x14ac:dyDescent="0.25">
      <c r="A99" s="83" t="s">
        <v>247</v>
      </c>
    </row>
    <row r="101" spans="1:20" ht="46.8" x14ac:dyDescent="0.25">
      <c r="A101" s="560" t="s">
        <v>110</v>
      </c>
      <c r="B101" s="560" t="s">
        <v>38</v>
      </c>
      <c r="C101" s="560" t="s">
        <v>295</v>
      </c>
      <c r="D101" s="560" t="s">
        <v>871</v>
      </c>
      <c r="E101" s="560" t="s">
        <v>872</v>
      </c>
      <c r="F101" s="560" t="s">
        <v>841</v>
      </c>
      <c r="G101" s="560" t="s">
        <v>873</v>
      </c>
      <c r="H101" s="560" t="s">
        <v>874</v>
      </c>
      <c r="I101" s="560" t="s">
        <v>875</v>
      </c>
      <c r="J101" s="560" t="s">
        <v>296</v>
      </c>
      <c r="K101" s="560" t="s">
        <v>876</v>
      </c>
      <c r="L101" s="560" t="s">
        <v>877</v>
      </c>
      <c r="M101" s="560" t="s">
        <v>954</v>
      </c>
      <c r="N101" s="560" t="s">
        <v>955</v>
      </c>
      <c r="O101" s="560" t="s">
        <v>878</v>
      </c>
      <c r="P101" s="560" t="s">
        <v>956</v>
      </c>
      <c r="Q101" s="560" t="s">
        <v>879</v>
      </c>
      <c r="R101" s="560" t="s">
        <v>880</v>
      </c>
      <c r="S101" s="560" t="s">
        <v>881</v>
      </c>
      <c r="T101" s="560" t="s">
        <v>842</v>
      </c>
    </row>
    <row r="102" spans="1:20" ht="13.8" x14ac:dyDescent="0.25">
      <c r="A102" s="545" t="s">
        <v>921</v>
      </c>
      <c r="B102" s="546">
        <v>688304924</v>
      </c>
      <c r="C102" s="546">
        <v>0</v>
      </c>
      <c r="D102" s="546">
        <v>341946</v>
      </c>
      <c r="E102" s="546">
        <v>24838875</v>
      </c>
      <c r="F102" s="546">
        <v>162757543</v>
      </c>
      <c r="G102" s="546">
        <v>104842734</v>
      </c>
      <c r="H102" s="546">
        <v>53776279</v>
      </c>
      <c r="I102" s="546">
        <v>50777405</v>
      </c>
      <c r="J102" s="546">
        <v>44579764</v>
      </c>
      <c r="K102" s="546">
        <v>22839730</v>
      </c>
      <c r="L102" s="546">
        <v>51743282</v>
      </c>
      <c r="M102" s="546">
        <v>18750024</v>
      </c>
      <c r="N102" s="546">
        <v>8654306</v>
      </c>
      <c r="O102" s="546">
        <v>12684998</v>
      </c>
      <c r="P102" s="546">
        <v>55286</v>
      </c>
      <c r="Q102" s="546">
        <v>8020410</v>
      </c>
      <c r="R102" s="546">
        <v>118029884</v>
      </c>
      <c r="S102" s="546">
        <v>5612458</v>
      </c>
      <c r="T102" s="546">
        <v>0</v>
      </c>
    </row>
    <row r="103" spans="1:20" ht="13.8" x14ac:dyDescent="0.25">
      <c r="A103" s="545" t="s">
        <v>922</v>
      </c>
      <c r="B103" s="546">
        <v>58299874</v>
      </c>
      <c r="C103" s="546">
        <v>0</v>
      </c>
      <c r="D103" s="546">
        <v>0</v>
      </c>
      <c r="E103" s="546">
        <v>2203106</v>
      </c>
      <c r="F103" s="546">
        <v>13496831</v>
      </c>
      <c r="G103" s="546">
        <v>8747396</v>
      </c>
      <c r="H103" s="546">
        <v>4668082</v>
      </c>
      <c r="I103" s="546">
        <v>4411476</v>
      </c>
      <c r="J103" s="546">
        <v>3188589</v>
      </c>
      <c r="K103" s="546">
        <v>1543364</v>
      </c>
      <c r="L103" s="546">
        <v>4493643</v>
      </c>
      <c r="M103" s="546">
        <v>1724291</v>
      </c>
      <c r="N103" s="546">
        <v>517127</v>
      </c>
      <c r="O103" s="546">
        <v>1163253</v>
      </c>
      <c r="P103" s="546">
        <v>0</v>
      </c>
      <c r="Q103" s="546">
        <v>726939</v>
      </c>
      <c r="R103" s="546">
        <v>10849634</v>
      </c>
      <c r="S103" s="546">
        <v>566143</v>
      </c>
      <c r="T103" s="546">
        <v>0</v>
      </c>
    </row>
    <row r="104" spans="1:20" ht="27.6" x14ac:dyDescent="0.25">
      <c r="A104" s="545" t="s">
        <v>923</v>
      </c>
      <c r="B104" s="546">
        <v>17727826</v>
      </c>
      <c r="C104" s="546">
        <v>0</v>
      </c>
      <c r="D104" s="546">
        <v>0</v>
      </c>
      <c r="E104" s="546">
        <v>2332</v>
      </c>
      <c r="F104" s="546">
        <v>6130762</v>
      </c>
      <c r="G104" s="546">
        <v>3553304</v>
      </c>
      <c r="H104" s="546">
        <v>1685090</v>
      </c>
      <c r="I104" s="546">
        <v>1619077</v>
      </c>
      <c r="J104" s="546">
        <v>0</v>
      </c>
      <c r="K104" s="546">
        <v>3302</v>
      </c>
      <c r="L104" s="546">
        <v>640558</v>
      </c>
      <c r="M104" s="546">
        <v>331087</v>
      </c>
      <c r="N104" s="546">
        <v>31683</v>
      </c>
      <c r="O104" s="546">
        <v>0</v>
      </c>
      <c r="P104" s="546">
        <v>1577</v>
      </c>
      <c r="Q104" s="546">
        <v>19654</v>
      </c>
      <c r="R104" s="546">
        <v>0</v>
      </c>
      <c r="S104" s="546">
        <v>3709400</v>
      </c>
      <c r="T104" s="546">
        <v>0</v>
      </c>
    </row>
    <row r="105" spans="1:20" ht="13.8" x14ac:dyDescent="0.25">
      <c r="A105" s="545" t="s">
        <v>924</v>
      </c>
      <c r="B105" s="546">
        <v>5376965</v>
      </c>
      <c r="C105" s="546">
        <v>0</v>
      </c>
      <c r="D105" s="546">
        <v>0</v>
      </c>
      <c r="E105" s="546">
        <v>19560</v>
      </c>
      <c r="F105" s="546">
        <v>1010846</v>
      </c>
      <c r="G105" s="546">
        <v>734884</v>
      </c>
      <c r="H105" s="546">
        <v>829606</v>
      </c>
      <c r="I105" s="546">
        <v>767794</v>
      </c>
      <c r="J105" s="546">
        <v>671560</v>
      </c>
      <c r="K105" s="546">
        <v>0</v>
      </c>
      <c r="L105" s="546">
        <v>19560</v>
      </c>
      <c r="M105" s="546">
        <v>0</v>
      </c>
      <c r="N105" s="546">
        <v>0</v>
      </c>
      <c r="O105" s="546">
        <v>0</v>
      </c>
      <c r="P105" s="546">
        <v>0</v>
      </c>
      <c r="Q105" s="546">
        <v>997560</v>
      </c>
      <c r="R105" s="546">
        <v>325595</v>
      </c>
      <c r="S105" s="546">
        <v>0</v>
      </c>
      <c r="T105" s="546">
        <v>0</v>
      </c>
    </row>
    <row r="106" spans="1:20" ht="13.8" x14ac:dyDescent="0.25">
      <c r="A106" s="545" t="s">
        <v>925</v>
      </c>
      <c r="B106" s="546">
        <v>29460907</v>
      </c>
      <c r="C106" s="546">
        <v>0</v>
      </c>
      <c r="D106" s="546">
        <v>0</v>
      </c>
      <c r="E106" s="546">
        <v>897247</v>
      </c>
      <c r="F106" s="546">
        <v>6627691</v>
      </c>
      <c r="G106" s="546">
        <v>4372439</v>
      </c>
      <c r="H106" s="546">
        <v>2188842</v>
      </c>
      <c r="I106" s="546">
        <v>2153364</v>
      </c>
      <c r="J106" s="546">
        <v>1897362</v>
      </c>
      <c r="K106" s="546">
        <v>1172858</v>
      </c>
      <c r="L106" s="546">
        <v>2088714</v>
      </c>
      <c r="M106" s="546">
        <v>857896</v>
      </c>
      <c r="N106" s="546">
        <v>422018</v>
      </c>
      <c r="O106" s="546">
        <v>500000</v>
      </c>
      <c r="P106" s="546">
        <v>0</v>
      </c>
      <c r="Q106" s="546">
        <v>279077</v>
      </c>
      <c r="R106" s="546">
        <v>5753399</v>
      </c>
      <c r="S106" s="546">
        <v>250000</v>
      </c>
      <c r="T106" s="546">
        <v>0</v>
      </c>
    </row>
    <row r="107" spans="1:20" ht="13.8" x14ac:dyDescent="0.25">
      <c r="A107" s="545" t="s">
        <v>926</v>
      </c>
      <c r="B107" s="546">
        <v>5442333</v>
      </c>
      <c r="C107" s="546">
        <v>0</v>
      </c>
      <c r="D107" s="546">
        <v>0</v>
      </c>
      <c r="E107" s="546">
        <v>297637</v>
      </c>
      <c r="F107" s="546">
        <v>1711361</v>
      </c>
      <c r="G107" s="546">
        <v>1071043</v>
      </c>
      <c r="H107" s="546">
        <v>329448</v>
      </c>
      <c r="I107" s="546">
        <v>321426</v>
      </c>
      <c r="J107" s="546">
        <v>218053</v>
      </c>
      <c r="K107" s="546">
        <v>86251</v>
      </c>
      <c r="L107" s="546">
        <v>414703</v>
      </c>
      <c r="M107" s="546">
        <v>57063</v>
      </c>
      <c r="N107" s="546">
        <v>112716</v>
      </c>
      <c r="O107" s="546">
        <v>0</v>
      </c>
      <c r="P107" s="546">
        <v>0</v>
      </c>
      <c r="Q107" s="546">
        <v>5626</v>
      </c>
      <c r="R107" s="546">
        <v>630526</v>
      </c>
      <c r="S107" s="546">
        <v>186480</v>
      </c>
      <c r="T107" s="546">
        <v>0</v>
      </c>
    </row>
    <row r="108" spans="1:20" ht="27.6" x14ac:dyDescent="0.25">
      <c r="A108" s="545" t="s">
        <v>927</v>
      </c>
      <c r="B108" s="546">
        <v>15196034</v>
      </c>
      <c r="C108" s="546">
        <v>0</v>
      </c>
      <c r="D108" s="546">
        <v>0</v>
      </c>
      <c r="E108" s="546">
        <v>248236</v>
      </c>
      <c r="F108" s="546">
        <v>3793464</v>
      </c>
      <c r="G108" s="546">
        <v>2004540</v>
      </c>
      <c r="H108" s="546">
        <v>773755</v>
      </c>
      <c r="I108" s="546">
        <v>730443</v>
      </c>
      <c r="J108" s="546">
        <v>1134658</v>
      </c>
      <c r="K108" s="546">
        <v>1176730</v>
      </c>
      <c r="L108" s="546">
        <v>1148302</v>
      </c>
      <c r="M108" s="546">
        <v>510732</v>
      </c>
      <c r="N108" s="546">
        <v>506158</v>
      </c>
      <c r="O108" s="546">
        <v>251711</v>
      </c>
      <c r="P108" s="546">
        <v>23885</v>
      </c>
      <c r="Q108" s="546">
        <v>323001</v>
      </c>
      <c r="R108" s="546">
        <v>2474169</v>
      </c>
      <c r="S108" s="546">
        <v>96250</v>
      </c>
      <c r="T108" s="546">
        <v>0</v>
      </c>
    </row>
    <row r="109" spans="1:20" ht="27.6" x14ac:dyDescent="0.25">
      <c r="A109" s="545" t="s">
        <v>928</v>
      </c>
      <c r="B109" s="546">
        <v>819808863</v>
      </c>
      <c r="C109" s="546">
        <v>0</v>
      </c>
      <c r="D109" s="546">
        <v>341946</v>
      </c>
      <c r="E109" s="546">
        <v>28506993</v>
      </c>
      <c r="F109" s="546">
        <v>195528498</v>
      </c>
      <c r="G109" s="546">
        <v>125326340</v>
      </c>
      <c r="H109" s="546">
        <v>64251102</v>
      </c>
      <c r="I109" s="546">
        <v>60780985</v>
      </c>
      <c r="J109" s="546">
        <v>51689986</v>
      </c>
      <c r="K109" s="546">
        <v>26822235</v>
      </c>
      <c r="L109" s="546">
        <v>60548762</v>
      </c>
      <c r="M109" s="546">
        <v>22231093</v>
      </c>
      <c r="N109" s="546">
        <v>10244008</v>
      </c>
      <c r="O109" s="546">
        <v>14599962</v>
      </c>
      <c r="P109" s="546">
        <v>80748</v>
      </c>
      <c r="Q109" s="546">
        <v>10372267</v>
      </c>
      <c r="R109" s="546">
        <v>138063207</v>
      </c>
      <c r="S109" s="546">
        <v>10420731</v>
      </c>
      <c r="T109" s="546">
        <v>0</v>
      </c>
    </row>
    <row r="110" spans="1:20" ht="27.6" x14ac:dyDescent="0.25">
      <c r="A110" s="545" t="s">
        <v>929</v>
      </c>
      <c r="B110" s="546">
        <v>7962079</v>
      </c>
      <c r="C110" s="546">
        <v>0</v>
      </c>
      <c r="D110" s="546">
        <v>0</v>
      </c>
      <c r="E110" s="546">
        <v>915543</v>
      </c>
      <c r="F110" s="546">
        <v>3341809</v>
      </c>
      <c r="G110" s="546">
        <v>1801189</v>
      </c>
      <c r="H110" s="546">
        <v>186949</v>
      </c>
      <c r="I110" s="546">
        <v>174711</v>
      </c>
      <c r="J110" s="546">
        <v>11873</v>
      </c>
      <c r="K110" s="546">
        <v>0</v>
      </c>
      <c r="L110" s="546">
        <v>11873</v>
      </c>
      <c r="M110" s="546">
        <v>0</v>
      </c>
      <c r="N110" s="546">
        <v>0</v>
      </c>
      <c r="O110" s="546">
        <v>0</v>
      </c>
      <c r="P110" s="546">
        <v>0</v>
      </c>
      <c r="Q110" s="546">
        <v>11873</v>
      </c>
      <c r="R110" s="546">
        <v>393098</v>
      </c>
      <c r="S110" s="546">
        <v>1113161</v>
      </c>
      <c r="T110" s="546">
        <v>0</v>
      </c>
    </row>
    <row r="111" spans="1:20" ht="13.8" x14ac:dyDescent="0.25">
      <c r="A111" s="545" t="s">
        <v>890</v>
      </c>
      <c r="B111" s="546">
        <v>9497163</v>
      </c>
      <c r="C111" s="546">
        <v>0</v>
      </c>
      <c r="D111" s="546">
        <v>0</v>
      </c>
      <c r="E111" s="546">
        <v>53339</v>
      </c>
      <c r="F111" s="546">
        <v>983290</v>
      </c>
      <c r="G111" s="546">
        <v>800085</v>
      </c>
      <c r="H111" s="546">
        <v>400042</v>
      </c>
      <c r="I111" s="546">
        <v>400042</v>
      </c>
      <c r="J111" s="546">
        <v>53339</v>
      </c>
      <c r="K111" s="546">
        <v>0</v>
      </c>
      <c r="L111" s="546">
        <v>53339</v>
      </c>
      <c r="M111" s="546">
        <v>0</v>
      </c>
      <c r="N111" s="546">
        <v>0</v>
      </c>
      <c r="O111" s="546">
        <v>5804608</v>
      </c>
      <c r="P111" s="546">
        <v>0</v>
      </c>
      <c r="Q111" s="546">
        <v>53339</v>
      </c>
      <c r="R111" s="546">
        <v>895740</v>
      </c>
      <c r="S111" s="546">
        <v>0</v>
      </c>
      <c r="T111" s="546">
        <v>0</v>
      </c>
    </row>
    <row r="112" spans="1:20" ht="13.8" x14ac:dyDescent="0.25">
      <c r="A112" s="545" t="s">
        <v>891</v>
      </c>
      <c r="B112" s="546">
        <v>17459242</v>
      </c>
      <c r="C112" s="546">
        <v>0</v>
      </c>
      <c r="D112" s="546">
        <v>0</v>
      </c>
      <c r="E112" s="546">
        <v>968882</v>
      </c>
      <c r="F112" s="546">
        <v>4325099</v>
      </c>
      <c r="G112" s="546">
        <v>2601274</v>
      </c>
      <c r="H112" s="546">
        <v>586991</v>
      </c>
      <c r="I112" s="546">
        <v>574753</v>
      </c>
      <c r="J112" s="546">
        <v>65212</v>
      </c>
      <c r="K112" s="546">
        <v>0</v>
      </c>
      <c r="L112" s="546">
        <v>65212</v>
      </c>
      <c r="M112" s="546">
        <v>0</v>
      </c>
      <c r="N112" s="546">
        <v>0</v>
      </c>
      <c r="O112" s="546">
        <v>5804608</v>
      </c>
      <c r="P112" s="546">
        <v>0</v>
      </c>
      <c r="Q112" s="546">
        <v>65212</v>
      </c>
      <c r="R112" s="546">
        <v>1288838</v>
      </c>
      <c r="S112" s="546">
        <v>1113161</v>
      </c>
      <c r="T112" s="546">
        <v>0</v>
      </c>
    </row>
    <row r="113" spans="1:20" ht="13.8" x14ac:dyDescent="0.25">
      <c r="A113" s="547" t="s">
        <v>892</v>
      </c>
      <c r="B113" s="548">
        <v>837268105</v>
      </c>
      <c r="C113" s="548">
        <v>0</v>
      </c>
      <c r="D113" s="548">
        <v>341946</v>
      </c>
      <c r="E113" s="548">
        <v>29475875</v>
      </c>
      <c r="F113" s="548">
        <v>199853597</v>
      </c>
      <c r="G113" s="548">
        <v>127927614</v>
      </c>
      <c r="H113" s="548">
        <v>64838093</v>
      </c>
      <c r="I113" s="548">
        <v>61355738</v>
      </c>
      <c r="J113" s="548">
        <v>51755198</v>
      </c>
      <c r="K113" s="548">
        <v>26822235</v>
      </c>
      <c r="L113" s="548">
        <v>60613974</v>
      </c>
      <c r="M113" s="548">
        <v>22231093</v>
      </c>
      <c r="N113" s="548">
        <v>10244008</v>
      </c>
      <c r="O113" s="548">
        <v>20404570</v>
      </c>
      <c r="P113" s="548">
        <v>80748</v>
      </c>
      <c r="Q113" s="548">
        <v>10437479</v>
      </c>
      <c r="R113" s="548">
        <v>139352045</v>
      </c>
      <c r="S113" s="548">
        <v>11533892</v>
      </c>
      <c r="T113" s="548">
        <v>0</v>
      </c>
    </row>
    <row r="114" spans="1:20" ht="41.4" x14ac:dyDescent="0.25">
      <c r="A114" s="547" t="s">
        <v>893</v>
      </c>
      <c r="B114" s="548">
        <v>109933162</v>
      </c>
      <c r="C114" s="548">
        <v>0</v>
      </c>
      <c r="D114" s="548">
        <v>22229</v>
      </c>
      <c r="E114" s="548">
        <v>3972317</v>
      </c>
      <c r="F114" s="548">
        <v>26327478</v>
      </c>
      <c r="G114" s="548">
        <v>17259008</v>
      </c>
      <c r="H114" s="548">
        <v>9003897</v>
      </c>
      <c r="I114" s="548">
        <v>8558060</v>
      </c>
      <c r="J114" s="548">
        <v>7061454</v>
      </c>
      <c r="K114" s="548">
        <v>3212186</v>
      </c>
      <c r="L114" s="548">
        <v>7868360</v>
      </c>
      <c r="M114" s="548">
        <v>2004808</v>
      </c>
      <c r="N114" s="548">
        <v>1426474</v>
      </c>
      <c r="O114" s="548">
        <v>1987681</v>
      </c>
      <c r="P114" s="548">
        <v>9018</v>
      </c>
      <c r="Q114" s="548">
        <v>1382334</v>
      </c>
      <c r="R114" s="548">
        <v>18455607</v>
      </c>
      <c r="S114" s="548">
        <v>1382251</v>
      </c>
      <c r="T114" s="548">
        <v>0</v>
      </c>
    </row>
    <row r="115" spans="1:20" ht="13.8" x14ac:dyDescent="0.25">
      <c r="A115" s="545" t="s">
        <v>894</v>
      </c>
      <c r="B115" s="546">
        <v>101222000</v>
      </c>
      <c r="C115" s="546">
        <v>0</v>
      </c>
      <c r="D115" s="546">
        <v>22229</v>
      </c>
      <c r="E115" s="546">
        <v>3759176</v>
      </c>
      <c r="F115" s="546">
        <v>24336863</v>
      </c>
      <c r="G115" s="546">
        <v>15621408</v>
      </c>
      <c r="H115" s="546">
        <v>8069284</v>
      </c>
      <c r="I115" s="546">
        <v>7629992</v>
      </c>
      <c r="J115" s="546">
        <v>6711841</v>
      </c>
      <c r="K115" s="546">
        <v>2989080</v>
      </c>
      <c r="L115" s="546">
        <v>7467544</v>
      </c>
      <c r="M115" s="546">
        <v>1856708</v>
      </c>
      <c r="N115" s="546">
        <v>1317070</v>
      </c>
      <c r="O115" s="546">
        <v>1897996</v>
      </c>
      <c r="P115" s="546">
        <v>9018</v>
      </c>
      <c r="Q115" s="546">
        <v>1276604</v>
      </c>
      <c r="R115" s="546">
        <v>16912436</v>
      </c>
      <c r="S115" s="546">
        <v>1344751</v>
      </c>
      <c r="T115" s="546">
        <v>0</v>
      </c>
    </row>
    <row r="116" spans="1:20" ht="13.8" x14ac:dyDescent="0.25">
      <c r="A116" s="545" t="s">
        <v>930</v>
      </c>
      <c r="B116" s="546">
        <v>1670000</v>
      </c>
      <c r="C116" s="546">
        <v>0</v>
      </c>
      <c r="D116" s="546">
        <v>0</v>
      </c>
      <c r="E116" s="546">
        <v>33400</v>
      </c>
      <c r="F116" s="546">
        <v>501000</v>
      </c>
      <c r="G116" s="546">
        <v>501000</v>
      </c>
      <c r="H116" s="546">
        <v>250500</v>
      </c>
      <c r="I116" s="546">
        <v>250500</v>
      </c>
      <c r="J116" s="546">
        <v>33400</v>
      </c>
      <c r="K116" s="546">
        <v>0</v>
      </c>
      <c r="L116" s="546">
        <v>33400</v>
      </c>
      <c r="M116" s="546">
        <v>0</v>
      </c>
      <c r="N116" s="546">
        <v>0</v>
      </c>
      <c r="O116" s="546">
        <v>0</v>
      </c>
      <c r="P116" s="546">
        <v>0</v>
      </c>
      <c r="Q116" s="546">
        <v>33400</v>
      </c>
      <c r="R116" s="546">
        <v>33400</v>
      </c>
      <c r="S116" s="546">
        <v>0</v>
      </c>
      <c r="T116" s="546">
        <v>0</v>
      </c>
    </row>
    <row r="117" spans="1:20" ht="13.8" x14ac:dyDescent="0.25">
      <c r="A117" s="545" t="s">
        <v>931</v>
      </c>
      <c r="B117" s="546">
        <v>2244162</v>
      </c>
      <c r="C117" s="546">
        <v>0</v>
      </c>
      <c r="D117" s="546">
        <v>0</v>
      </c>
      <c r="E117" s="546">
        <v>37922</v>
      </c>
      <c r="F117" s="546">
        <v>387676</v>
      </c>
      <c r="G117" s="546">
        <v>372663</v>
      </c>
      <c r="H117" s="546">
        <v>295945</v>
      </c>
      <c r="I117" s="546">
        <v>294051</v>
      </c>
      <c r="J117" s="546">
        <v>23600</v>
      </c>
      <c r="K117" s="546">
        <v>46511</v>
      </c>
      <c r="L117" s="546">
        <v>46874</v>
      </c>
      <c r="M117" s="546">
        <v>19416</v>
      </c>
      <c r="N117" s="546">
        <v>46101</v>
      </c>
      <c r="O117" s="546">
        <v>14685</v>
      </c>
      <c r="P117" s="546">
        <v>0</v>
      </c>
      <c r="Q117" s="546">
        <v>23237</v>
      </c>
      <c r="R117" s="546">
        <v>635481</v>
      </c>
      <c r="S117" s="546">
        <v>0</v>
      </c>
      <c r="T117" s="546">
        <v>0</v>
      </c>
    </row>
    <row r="118" spans="1:20" ht="27.6" x14ac:dyDescent="0.25">
      <c r="A118" s="545" t="s">
        <v>895</v>
      </c>
      <c r="B118" s="546">
        <v>4797000</v>
      </c>
      <c r="C118" s="546">
        <v>0</v>
      </c>
      <c r="D118" s="546">
        <v>0</v>
      </c>
      <c r="E118" s="546">
        <v>141819</v>
      </c>
      <c r="F118" s="546">
        <v>1101939</v>
      </c>
      <c r="G118" s="546">
        <v>763937</v>
      </c>
      <c r="H118" s="546">
        <v>388168</v>
      </c>
      <c r="I118" s="546">
        <v>383517</v>
      </c>
      <c r="J118" s="546">
        <v>292613</v>
      </c>
      <c r="K118" s="546">
        <v>176595</v>
      </c>
      <c r="L118" s="546">
        <v>320542</v>
      </c>
      <c r="M118" s="546">
        <v>128684</v>
      </c>
      <c r="N118" s="546">
        <v>63303</v>
      </c>
      <c r="O118" s="546">
        <v>75000</v>
      </c>
      <c r="P118" s="546">
        <v>0</v>
      </c>
      <c r="Q118" s="546">
        <v>49093</v>
      </c>
      <c r="R118" s="546">
        <v>874290</v>
      </c>
      <c r="S118" s="546">
        <v>37500</v>
      </c>
      <c r="T118" s="546">
        <v>0</v>
      </c>
    </row>
    <row r="119" spans="1:20" ht="13.8" x14ac:dyDescent="0.25">
      <c r="A119" s="545" t="s">
        <v>932</v>
      </c>
      <c r="B119" s="546">
        <v>4986413</v>
      </c>
      <c r="C119" s="546">
        <v>0</v>
      </c>
      <c r="D119" s="546">
        <v>0</v>
      </c>
      <c r="E119" s="546">
        <v>9265</v>
      </c>
      <c r="F119" s="546">
        <v>1811885</v>
      </c>
      <c r="G119" s="546">
        <v>1065521</v>
      </c>
      <c r="H119" s="546">
        <v>882577</v>
      </c>
      <c r="I119" s="546">
        <v>834825</v>
      </c>
      <c r="J119" s="546">
        <v>139449</v>
      </c>
      <c r="K119" s="546">
        <v>132979</v>
      </c>
      <c r="L119" s="546">
        <v>60246</v>
      </c>
      <c r="M119" s="546">
        <v>28643</v>
      </c>
      <c r="N119" s="546">
        <v>9547</v>
      </c>
      <c r="O119" s="546">
        <v>0</v>
      </c>
      <c r="P119" s="546">
        <v>0</v>
      </c>
      <c r="Q119" s="546">
        <v>2961</v>
      </c>
      <c r="R119" s="546">
        <v>2963</v>
      </c>
      <c r="S119" s="546">
        <v>5552</v>
      </c>
      <c r="T119" s="546">
        <v>0</v>
      </c>
    </row>
    <row r="120" spans="1:20" ht="13.8" x14ac:dyDescent="0.25">
      <c r="A120" s="545" t="s">
        <v>933</v>
      </c>
      <c r="B120" s="546">
        <v>33103393</v>
      </c>
      <c r="C120" s="546">
        <v>0</v>
      </c>
      <c r="D120" s="546">
        <v>0</v>
      </c>
      <c r="E120" s="546">
        <v>256037</v>
      </c>
      <c r="F120" s="546">
        <v>11673141</v>
      </c>
      <c r="G120" s="546">
        <v>6803334</v>
      </c>
      <c r="H120" s="546">
        <v>4574482</v>
      </c>
      <c r="I120" s="546">
        <v>3458933</v>
      </c>
      <c r="J120" s="546">
        <v>1183654</v>
      </c>
      <c r="K120" s="546">
        <v>906781</v>
      </c>
      <c r="L120" s="546">
        <v>1277117</v>
      </c>
      <c r="M120" s="546">
        <v>587327</v>
      </c>
      <c r="N120" s="546">
        <v>697073</v>
      </c>
      <c r="O120" s="546">
        <v>578225</v>
      </c>
      <c r="P120" s="546">
        <v>21427</v>
      </c>
      <c r="Q120" s="546">
        <v>393562</v>
      </c>
      <c r="R120" s="546">
        <v>689926</v>
      </c>
      <c r="S120" s="546">
        <v>2374</v>
      </c>
      <c r="T120" s="546">
        <v>0</v>
      </c>
    </row>
    <row r="121" spans="1:20" ht="13.8" x14ac:dyDescent="0.25">
      <c r="A121" s="545" t="s">
        <v>934</v>
      </c>
      <c r="B121" s="546">
        <v>38089806</v>
      </c>
      <c r="C121" s="546">
        <v>0</v>
      </c>
      <c r="D121" s="546">
        <v>0</v>
      </c>
      <c r="E121" s="546">
        <v>265302</v>
      </c>
      <c r="F121" s="546">
        <v>13485026</v>
      </c>
      <c r="G121" s="546">
        <v>7868855</v>
      </c>
      <c r="H121" s="546">
        <v>5457059</v>
      </c>
      <c r="I121" s="546">
        <v>4293758</v>
      </c>
      <c r="J121" s="546">
        <v>1323103</v>
      </c>
      <c r="K121" s="546">
        <v>1039760</v>
      </c>
      <c r="L121" s="546">
        <v>1337363</v>
      </c>
      <c r="M121" s="546">
        <v>615970</v>
      </c>
      <c r="N121" s="546">
        <v>706620</v>
      </c>
      <c r="O121" s="546">
        <v>578225</v>
      </c>
      <c r="P121" s="546">
        <v>21427</v>
      </c>
      <c r="Q121" s="546">
        <v>396523</v>
      </c>
      <c r="R121" s="546">
        <v>692889</v>
      </c>
      <c r="S121" s="546">
        <v>7926</v>
      </c>
      <c r="T121" s="546">
        <v>0</v>
      </c>
    </row>
    <row r="122" spans="1:20" ht="13.8" x14ac:dyDescent="0.25">
      <c r="A122" s="545" t="s">
        <v>896</v>
      </c>
      <c r="B122" s="546">
        <v>7084424</v>
      </c>
      <c r="C122" s="546">
        <v>0</v>
      </c>
      <c r="D122" s="546">
        <v>0</v>
      </c>
      <c r="E122" s="546">
        <v>160497</v>
      </c>
      <c r="F122" s="546">
        <v>1702338</v>
      </c>
      <c r="G122" s="546">
        <v>1505179</v>
      </c>
      <c r="H122" s="546">
        <v>642090</v>
      </c>
      <c r="I122" s="546">
        <v>641816</v>
      </c>
      <c r="J122" s="546">
        <v>479109</v>
      </c>
      <c r="K122" s="546">
        <v>343064</v>
      </c>
      <c r="L122" s="546">
        <v>230813</v>
      </c>
      <c r="M122" s="546">
        <v>81173</v>
      </c>
      <c r="N122" s="546">
        <v>40033</v>
      </c>
      <c r="O122" s="546">
        <v>199010</v>
      </c>
      <c r="P122" s="546">
        <v>1331</v>
      </c>
      <c r="Q122" s="546">
        <v>352225</v>
      </c>
      <c r="R122" s="546">
        <v>603489</v>
      </c>
      <c r="S122" s="546">
        <v>102257</v>
      </c>
      <c r="T122" s="546">
        <v>0</v>
      </c>
    </row>
    <row r="123" spans="1:20" ht="13.8" x14ac:dyDescent="0.25">
      <c r="A123" s="545" t="s">
        <v>935</v>
      </c>
      <c r="B123" s="546">
        <v>1562822</v>
      </c>
      <c r="C123" s="546">
        <v>0</v>
      </c>
      <c r="D123" s="546">
        <v>0</v>
      </c>
      <c r="E123" s="546">
        <v>22318</v>
      </c>
      <c r="F123" s="546">
        <v>244295</v>
      </c>
      <c r="G123" s="546">
        <v>175765</v>
      </c>
      <c r="H123" s="546">
        <v>98451</v>
      </c>
      <c r="I123" s="546">
        <v>96451</v>
      </c>
      <c r="J123" s="546">
        <v>102384</v>
      </c>
      <c r="K123" s="546">
        <v>232738</v>
      </c>
      <c r="L123" s="546">
        <v>123790</v>
      </c>
      <c r="M123" s="546">
        <v>59548</v>
      </c>
      <c r="N123" s="546">
        <v>38635</v>
      </c>
      <c r="O123" s="546">
        <v>52496</v>
      </c>
      <c r="P123" s="546">
        <v>134</v>
      </c>
      <c r="Q123" s="546">
        <v>92205</v>
      </c>
      <c r="R123" s="546">
        <v>176445</v>
      </c>
      <c r="S123" s="546">
        <v>47167</v>
      </c>
      <c r="T123" s="546">
        <v>0</v>
      </c>
    </row>
    <row r="124" spans="1:20" ht="13.8" x14ac:dyDescent="0.25">
      <c r="A124" s="545" t="s">
        <v>897</v>
      </c>
      <c r="B124" s="546">
        <v>8647246</v>
      </c>
      <c r="C124" s="546">
        <v>0</v>
      </c>
      <c r="D124" s="546">
        <v>0</v>
      </c>
      <c r="E124" s="546">
        <v>182815</v>
      </c>
      <c r="F124" s="546">
        <v>1946633</v>
      </c>
      <c r="G124" s="546">
        <v>1680944</v>
      </c>
      <c r="H124" s="546">
        <v>740541</v>
      </c>
      <c r="I124" s="546">
        <v>738267</v>
      </c>
      <c r="J124" s="546">
        <v>581493</v>
      </c>
      <c r="K124" s="546">
        <v>575802</v>
      </c>
      <c r="L124" s="546">
        <v>354603</v>
      </c>
      <c r="M124" s="546">
        <v>140721</v>
      </c>
      <c r="N124" s="546">
        <v>78668</v>
      </c>
      <c r="O124" s="546">
        <v>251506</v>
      </c>
      <c r="P124" s="546">
        <v>1465</v>
      </c>
      <c r="Q124" s="546">
        <v>444430</v>
      </c>
      <c r="R124" s="546">
        <v>779934</v>
      </c>
      <c r="S124" s="546">
        <v>149424</v>
      </c>
      <c r="T124" s="546">
        <v>0</v>
      </c>
    </row>
    <row r="125" spans="1:20" ht="13.8" x14ac:dyDescent="0.25">
      <c r="A125" s="545" t="s">
        <v>936</v>
      </c>
      <c r="B125" s="546">
        <v>16711409</v>
      </c>
      <c r="C125" s="546">
        <v>0</v>
      </c>
      <c r="D125" s="546">
        <v>0</v>
      </c>
      <c r="E125" s="546">
        <v>215584</v>
      </c>
      <c r="F125" s="546">
        <v>3583701</v>
      </c>
      <c r="G125" s="546">
        <v>3295026</v>
      </c>
      <c r="H125" s="546">
        <v>2005462</v>
      </c>
      <c r="I125" s="546">
        <v>2005464</v>
      </c>
      <c r="J125" s="546">
        <v>686852</v>
      </c>
      <c r="K125" s="546">
        <v>622681</v>
      </c>
      <c r="L125" s="546">
        <v>2052247</v>
      </c>
      <c r="M125" s="546">
        <v>1026123</v>
      </c>
      <c r="N125" s="546">
        <v>342041</v>
      </c>
      <c r="O125" s="546">
        <v>646753</v>
      </c>
      <c r="P125" s="546">
        <v>0</v>
      </c>
      <c r="Q125" s="546">
        <v>68842</v>
      </c>
      <c r="R125" s="546">
        <v>137686</v>
      </c>
      <c r="S125" s="546">
        <v>22947</v>
      </c>
      <c r="T125" s="546">
        <v>0</v>
      </c>
    </row>
    <row r="126" spans="1:20" ht="13.8" x14ac:dyDescent="0.25">
      <c r="A126" s="545" t="s">
        <v>937</v>
      </c>
      <c r="B126" s="546">
        <v>18743869</v>
      </c>
      <c r="C126" s="546">
        <v>0</v>
      </c>
      <c r="D126" s="546">
        <v>0</v>
      </c>
      <c r="E126" s="546">
        <v>157265</v>
      </c>
      <c r="F126" s="546">
        <v>3670402</v>
      </c>
      <c r="G126" s="546">
        <v>3363776</v>
      </c>
      <c r="H126" s="546">
        <v>2135041</v>
      </c>
      <c r="I126" s="546">
        <v>2135038</v>
      </c>
      <c r="J126" s="546">
        <v>748530</v>
      </c>
      <c r="K126" s="546">
        <v>2786343</v>
      </c>
      <c r="L126" s="546">
        <v>1627951</v>
      </c>
      <c r="M126" s="546">
        <v>813975</v>
      </c>
      <c r="N126" s="546">
        <v>271326</v>
      </c>
      <c r="O126" s="546">
        <v>471788</v>
      </c>
      <c r="P126" s="546">
        <v>0</v>
      </c>
      <c r="Q126" s="546">
        <v>168729</v>
      </c>
      <c r="R126" s="546">
        <v>337460</v>
      </c>
      <c r="S126" s="546">
        <v>56245</v>
      </c>
      <c r="T126" s="546">
        <v>0</v>
      </c>
    </row>
    <row r="127" spans="1:20" ht="13.8" x14ac:dyDescent="0.25">
      <c r="A127" s="545" t="s">
        <v>957</v>
      </c>
      <c r="B127" s="546">
        <v>2851140</v>
      </c>
      <c r="C127" s="546">
        <v>0</v>
      </c>
      <c r="D127" s="546">
        <v>0</v>
      </c>
      <c r="E127" s="546">
        <v>356392</v>
      </c>
      <c r="F127" s="546">
        <v>1096320</v>
      </c>
      <c r="G127" s="546">
        <v>329251</v>
      </c>
      <c r="H127" s="546">
        <v>0</v>
      </c>
      <c r="I127" s="546">
        <v>0</v>
      </c>
      <c r="J127" s="546">
        <v>0</v>
      </c>
      <c r="K127" s="546">
        <v>0</v>
      </c>
      <c r="L127" s="546">
        <v>0</v>
      </c>
      <c r="M127" s="546">
        <v>0</v>
      </c>
      <c r="N127" s="546">
        <v>0</v>
      </c>
      <c r="O127" s="546">
        <v>1069177</v>
      </c>
      <c r="P127" s="546">
        <v>0</v>
      </c>
      <c r="Q127" s="546">
        <v>0</v>
      </c>
      <c r="R127" s="546">
        <v>0</v>
      </c>
      <c r="S127" s="546">
        <v>0</v>
      </c>
      <c r="T127" s="546">
        <v>0</v>
      </c>
    </row>
    <row r="128" spans="1:20" ht="13.8" x14ac:dyDescent="0.25">
      <c r="A128" s="545" t="s">
        <v>938</v>
      </c>
      <c r="B128" s="546">
        <v>3806305</v>
      </c>
      <c r="C128" s="546">
        <v>0</v>
      </c>
      <c r="D128" s="546">
        <v>0</v>
      </c>
      <c r="E128" s="546">
        <v>62896</v>
      </c>
      <c r="F128" s="546">
        <v>638836</v>
      </c>
      <c r="G128" s="546">
        <v>537114</v>
      </c>
      <c r="H128" s="546">
        <v>308125</v>
      </c>
      <c r="I128" s="546">
        <v>308122</v>
      </c>
      <c r="J128" s="546">
        <v>534880</v>
      </c>
      <c r="K128" s="546">
        <v>439804</v>
      </c>
      <c r="L128" s="546">
        <v>433423</v>
      </c>
      <c r="M128" s="546">
        <v>216712</v>
      </c>
      <c r="N128" s="546">
        <v>72236</v>
      </c>
      <c r="O128" s="546">
        <v>188689</v>
      </c>
      <c r="P128" s="546">
        <v>0</v>
      </c>
      <c r="Q128" s="546">
        <v>19642</v>
      </c>
      <c r="R128" s="546">
        <v>39285</v>
      </c>
      <c r="S128" s="546">
        <v>6541</v>
      </c>
      <c r="T128" s="546">
        <v>0</v>
      </c>
    </row>
    <row r="129" spans="1:20" ht="13.8" x14ac:dyDescent="0.25">
      <c r="A129" s="545" t="s">
        <v>939</v>
      </c>
      <c r="B129" s="546">
        <v>42112723</v>
      </c>
      <c r="C129" s="546">
        <v>0</v>
      </c>
      <c r="D129" s="546">
        <v>0</v>
      </c>
      <c r="E129" s="546">
        <v>792137</v>
      </c>
      <c r="F129" s="546">
        <v>8989259</v>
      </c>
      <c r="G129" s="546">
        <v>7525167</v>
      </c>
      <c r="H129" s="546">
        <v>4448628</v>
      </c>
      <c r="I129" s="546">
        <v>4448624</v>
      </c>
      <c r="J129" s="546">
        <v>1970262</v>
      </c>
      <c r="K129" s="546">
        <v>3848828</v>
      </c>
      <c r="L129" s="546">
        <v>4113621</v>
      </c>
      <c r="M129" s="546">
        <v>2056810</v>
      </c>
      <c r="N129" s="546">
        <v>685603</v>
      </c>
      <c r="O129" s="546">
        <v>2376407</v>
      </c>
      <c r="P129" s="546">
        <v>0</v>
      </c>
      <c r="Q129" s="546">
        <v>257213</v>
      </c>
      <c r="R129" s="546">
        <v>514431</v>
      </c>
      <c r="S129" s="546">
        <v>85733</v>
      </c>
      <c r="T129" s="546">
        <v>0</v>
      </c>
    </row>
    <row r="130" spans="1:20" ht="13.8" x14ac:dyDescent="0.25">
      <c r="A130" s="545" t="s">
        <v>940</v>
      </c>
      <c r="B130" s="546">
        <v>283814332</v>
      </c>
      <c r="C130" s="546">
        <v>0</v>
      </c>
      <c r="D130" s="546">
        <v>0</v>
      </c>
      <c r="E130" s="546">
        <v>6190082</v>
      </c>
      <c r="F130" s="546">
        <v>48786993</v>
      </c>
      <c r="G130" s="546">
        <v>40129027</v>
      </c>
      <c r="H130" s="546">
        <v>22148398</v>
      </c>
      <c r="I130" s="546">
        <v>22148396</v>
      </c>
      <c r="J130" s="546">
        <v>5770293</v>
      </c>
      <c r="K130" s="546">
        <v>9060887</v>
      </c>
      <c r="L130" s="546">
        <v>606744</v>
      </c>
      <c r="M130" s="546">
        <v>0</v>
      </c>
      <c r="N130" s="546">
        <v>0</v>
      </c>
      <c r="O130" s="546">
        <v>0</v>
      </c>
      <c r="P130" s="546">
        <v>5266080</v>
      </c>
      <c r="Q130" s="546">
        <v>123707432</v>
      </c>
      <c r="R130" s="546">
        <v>0</v>
      </c>
      <c r="S130" s="546">
        <v>0</v>
      </c>
      <c r="T130" s="546">
        <v>0</v>
      </c>
    </row>
    <row r="131" spans="1:20" ht="13.8" x14ac:dyDescent="0.25">
      <c r="A131" s="545" t="s">
        <v>941</v>
      </c>
      <c r="B131" s="546">
        <v>2801726</v>
      </c>
      <c r="C131" s="546">
        <v>0</v>
      </c>
      <c r="D131" s="546">
        <v>0</v>
      </c>
      <c r="E131" s="546">
        <v>189</v>
      </c>
      <c r="F131" s="546">
        <v>11557</v>
      </c>
      <c r="G131" s="546">
        <v>8287</v>
      </c>
      <c r="H131" s="546">
        <v>3307</v>
      </c>
      <c r="I131" s="546">
        <v>2362</v>
      </c>
      <c r="J131" s="546">
        <v>1134</v>
      </c>
      <c r="K131" s="546">
        <v>756</v>
      </c>
      <c r="L131" s="546">
        <v>5774</v>
      </c>
      <c r="M131" s="546">
        <v>2700</v>
      </c>
      <c r="N131" s="546">
        <v>10355</v>
      </c>
      <c r="O131" s="546">
        <v>0</v>
      </c>
      <c r="P131" s="546">
        <v>0</v>
      </c>
      <c r="Q131" s="546">
        <v>189</v>
      </c>
      <c r="R131" s="546">
        <v>189</v>
      </c>
      <c r="S131" s="546">
        <v>2754927</v>
      </c>
      <c r="T131" s="546">
        <v>0</v>
      </c>
    </row>
    <row r="132" spans="1:20" ht="13.8" x14ac:dyDescent="0.25">
      <c r="A132" s="545" t="s">
        <v>898</v>
      </c>
      <c r="B132" s="546">
        <v>8436679</v>
      </c>
      <c r="C132" s="546">
        <v>0</v>
      </c>
      <c r="D132" s="546">
        <v>0</v>
      </c>
      <c r="E132" s="546">
        <v>99330</v>
      </c>
      <c r="F132" s="546">
        <v>2778429</v>
      </c>
      <c r="G132" s="546">
        <v>1925925</v>
      </c>
      <c r="H132" s="546">
        <v>1024057</v>
      </c>
      <c r="I132" s="546">
        <v>927092</v>
      </c>
      <c r="J132" s="546">
        <v>172057</v>
      </c>
      <c r="K132" s="546">
        <v>426806</v>
      </c>
      <c r="L132" s="546">
        <v>563097</v>
      </c>
      <c r="M132" s="546">
        <v>268512</v>
      </c>
      <c r="N132" s="546">
        <v>197993</v>
      </c>
      <c r="O132" s="546">
        <v>0</v>
      </c>
      <c r="P132" s="546">
        <v>0</v>
      </c>
      <c r="Q132" s="546">
        <v>13014</v>
      </c>
      <c r="R132" s="546">
        <v>36856</v>
      </c>
      <c r="S132" s="546">
        <v>3511</v>
      </c>
      <c r="T132" s="546">
        <v>0</v>
      </c>
    </row>
    <row r="133" spans="1:20" ht="13.8" x14ac:dyDescent="0.25">
      <c r="A133" s="545" t="s">
        <v>899</v>
      </c>
      <c r="B133" s="546">
        <v>1550115</v>
      </c>
      <c r="C133" s="546">
        <v>0</v>
      </c>
      <c r="D133" s="546">
        <v>0</v>
      </c>
      <c r="E133" s="546">
        <v>0</v>
      </c>
      <c r="F133" s="546">
        <v>1528082</v>
      </c>
      <c r="G133" s="546">
        <v>871</v>
      </c>
      <c r="H133" s="546">
        <v>581</v>
      </c>
      <c r="I133" s="546">
        <v>581</v>
      </c>
      <c r="J133" s="546">
        <v>0</v>
      </c>
      <c r="K133" s="546">
        <v>0</v>
      </c>
      <c r="L133" s="546">
        <v>0</v>
      </c>
      <c r="M133" s="546">
        <v>0</v>
      </c>
      <c r="N133" s="546">
        <v>0</v>
      </c>
      <c r="O133" s="546">
        <v>0</v>
      </c>
      <c r="P133" s="546">
        <v>0</v>
      </c>
      <c r="Q133" s="546">
        <v>0</v>
      </c>
      <c r="R133" s="546">
        <v>0</v>
      </c>
      <c r="S133" s="546">
        <v>20000</v>
      </c>
      <c r="T133" s="546">
        <v>0</v>
      </c>
    </row>
    <row r="134" spans="1:20" ht="13.8" x14ac:dyDescent="0.25">
      <c r="A134" s="545" t="s">
        <v>900</v>
      </c>
      <c r="B134" s="546">
        <v>1550115</v>
      </c>
      <c r="C134" s="546">
        <v>0</v>
      </c>
      <c r="D134" s="546">
        <v>0</v>
      </c>
      <c r="E134" s="546">
        <v>0</v>
      </c>
      <c r="F134" s="546">
        <v>1528082</v>
      </c>
      <c r="G134" s="546">
        <v>871</v>
      </c>
      <c r="H134" s="546">
        <v>581</v>
      </c>
      <c r="I134" s="546">
        <v>581</v>
      </c>
      <c r="J134" s="546">
        <v>0</v>
      </c>
      <c r="K134" s="546">
        <v>0</v>
      </c>
      <c r="L134" s="546">
        <v>0</v>
      </c>
      <c r="M134" s="546">
        <v>0</v>
      </c>
      <c r="N134" s="546">
        <v>0</v>
      </c>
      <c r="O134" s="546">
        <v>0</v>
      </c>
      <c r="P134" s="546">
        <v>0</v>
      </c>
      <c r="Q134" s="546">
        <v>0</v>
      </c>
      <c r="R134" s="546">
        <v>0</v>
      </c>
      <c r="S134" s="546">
        <v>20000</v>
      </c>
      <c r="T134" s="546">
        <v>0</v>
      </c>
    </row>
    <row r="135" spans="1:20" ht="27.6" x14ac:dyDescent="0.25">
      <c r="A135" s="545" t="s">
        <v>942</v>
      </c>
      <c r="B135" s="546">
        <v>13421540</v>
      </c>
      <c r="C135" s="546">
        <v>0</v>
      </c>
      <c r="D135" s="546">
        <v>0</v>
      </c>
      <c r="E135" s="546">
        <v>120140</v>
      </c>
      <c r="F135" s="546">
        <v>4684340</v>
      </c>
      <c r="G135" s="546">
        <v>3036814</v>
      </c>
      <c r="H135" s="546">
        <v>2058882</v>
      </c>
      <c r="I135" s="546">
        <v>2010426</v>
      </c>
      <c r="J135" s="546">
        <v>82803</v>
      </c>
      <c r="K135" s="546">
        <v>10003</v>
      </c>
      <c r="L135" s="546">
        <v>508382</v>
      </c>
      <c r="M135" s="546">
        <v>251900</v>
      </c>
      <c r="N135" s="546">
        <v>418700</v>
      </c>
      <c r="O135" s="546">
        <v>3400</v>
      </c>
      <c r="P135" s="546">
        <v>911</v>
      </c>
      <c r="Q135" s="546">
        <v>74647</v>
      </c>
      <c r="R135" s="546">
        <v>158492</v>
      </c>
      <c r="S135" s="546">
        <v>1700</v>
      </c>
      <c r="T135" s="546">
        <v>0</v>
      </c>
    </row>
    <row r="136" spans="1:20" ht="13.8" x14ac:dyDescent="0.25">
      <c r="A136" s="545" t="s">
        <v>901</v>
      </c>
      <c r="B136" s="546">
        <v>19805839</v>
      </c>
      <c r="C136" s="546">
        <v>0</v>
      </c>
      <c r="D136" s="546">
        <v>0</v>
      </c>
      <c r="E136" s="546">
        <v>406052</v>
      </c>
      <c r="F136" s="546">
        <v>4879129</v>
      </c>
      <c r="G136" s="546">
        <v>3793299</v>
      </c>
      <c r="H136" s="546">
        <v>1767478</v>
      </c>
      <c r="I136" s="546">
        <v>1726004</v>
      </c>
      <c r="J136" s="546">
        <v>640654</v>
      </c>
      <c r="K136" s="546">
        <v>519636</v>
      </c>
      <c r="L136" s="546">
        <v>610345</v>
      </c>
      <c r="M136" s="546">
        <v>210502</v>
      </c>
      <c r="N136" s="546">
        <v>250073</v>
      </c>
      <c r="O136" s="546">
        <v>241537</v>
      </c>
      <c r="P136" s="546">
        <v>0</v>
      </c>
      <c r="Q136" s="546">
        <v>215075</v>
      </c>
      <c r="R136" s="546">
        <v>293108</v>
      </c>
      <c r="S136" s="546">
        <v>4252947</v>
      </c>
      <c r="T136" s="546">
        <v>0</v>
      </c>
    </row>
    <row r="137" spans="1:20" ht="13.8" x14ac:dyDescent="0.25">
      <c r="A137" s="545" t="s">
        <v>943</v>
      </c>
      <c r="B137" s="546">
        <v>1650723</v>
      </c>
      <c r="C137" s="546">
        <v>0</v>
      </c>
      <c r="D137" s="546">
        <v>0</v>
      </c>
      <c r="E137" s="546">
        <v>9955</v>
      </c>
      <c r="F137" s="546">
        <v>579069</v>
      </c>
      <c r="G137" s="546">
        <v>402532</v>
      </c>
      <c r="H137" s="546">
        <v>151355</v>
      </c>
      <c r="I137" s="546">
        <v>113007</v>
      </c>
      <c r="J137" s="546">
        <v>48299</v>
      </c>
      <c r="K137" s="546">
        <v>30678</v>
      </c>
      <c r="L137" s="546">
        <v>17626</v>
      </c>
      <c r="M137" s="546">
        <v>0</v>
      </c>
      <c r="N137" s="546">
        <v>162584</v>
      </c>
      <c r="O137" s="546">
        <v>115709</v>
      </c>
      <c r="P137" s="546">
        <v>0</v>
      </c>
      <c r="Q137" s="546">
        <v>9955</v>
      </c>
      <c r="R137" s="546">
        <v>9954</v>
      </c>
      <c r="S137" s="546">
        <v>0</v>
      </c>
      <c r="T137" s="546">
        <v>0</v>
      </c>
    </row>
    <row r="138" spans="1:20" ht="27.6" x14ac:dyDescent="0.25">
      <c r="A138" s="545" t="s">
        <v>902</v>
      </c>
      <c r="B138" s="546">
        <v>371942954</v>
      </c>
      <c r="C138" s="546">
        <v>0</v>
      </c>
      <c r="D138" s="546">
        <v>0</v>
      </c>
      <c r="E138" s="546">
        <v>7607930</v>
      </c>
      <c r="F138" s="546">
        <v>71657789</v>
      </c>
      <c r="G138" s="546">
        <v>56419390</v>
      </c>
      <c r="H138" s="546">
        <v>31451331</v>
      </c>
      <c r="I138" s="546">
        <v>31263485</v>
      </c>
      <c r="J138" s="546">
        <v>8637203</v>
      </c>
      <c r="K138" s="546">
        <v>13866916</v>
      </c>
      <c r="L138" s="546">
        <v>6407963</v>
      </c>
      <c r="M138" s="546">
        <v>2790424</v>
      </c>
      <c r="N138" s="546">
        <v>1562724</v>
      </c>
      <c r="O138" s="546">
        <v>2621344</v>
      </c>
      <c r="P138" s="546">
        <v>5266991</v>
      </c>
      <c r="Q138" s="546">
        <v>124267570</v>
      </c>
      <c r="R138" s="546">
        <v>1003076</v>
      </c>
      <c r="S138" s="546">
        <v>7118818</v>
      </c>
      <c r="T138" s="546">
        <v>0</v>
      </c>
    </row>
    <row r="139" spans="1:20" ht="13.8" x14ac:dyDescent="0.25">
      <c r="A139" s="545" t="s">
        <v>944</v>
      </c>
      <c r="B139" s="546">
        <v>885665</v>
      </c>
      <c r="C139" s="546">
        <v>0</v>
      </c>
      <c r="D139" s="546">
        <v>0</v>
      </c>
      <c r="E139" s="546">
        <v>6067</v>
      </c>
      <c r="F139" s="546">
        <v>68922</v>
      </c>
      <c r="G139" s="546">
        <v>49742</v>
      </c>
      <c r="H139" s="546">
        <v>12225</v>
      </c>
      <c r="I139" s="546">
        <v>12212</v>
      </c>
      <c r="J139" s="546">
        <v>13584</v>
      </c>
      <c r="K139" s="546">
        <v>0</v>
      </c>
      <c r="L139" s="546">
        <v>91971</v>
      </c>
      <c r="M139" s="546">
        <v>45241</v>
      </c>
      <c r="N139" s="546">
        <v>15081</v>
      </c>
      <c r="O139" s="546">
        <v>0</v>
      </c>
      <c r="P139" s="546">
        <v>0</v>
      </c>
      <c r="Q139" s="546">
        <v>1487</v>
      </c>
      <c r="R139" s="546">
        <v>569133</v>
      </c>
      <c r="S139" s="546">
        <v>0</v>
      </c>
      <c r="T139" s="546">
        <v>0</v>
      </c>
    </row>
    <row r="140" spans="1:20" ht="13.8" x14ac:dyDescent="0.25">
      <c r="A140" s="545" t="s">
        <v>958</v>
      </c>
      <c r="B140" s="546">
        <v>99950</v>
      </c>
      <c r="C140" s="546">
        <v>0</v>
      </c>
      <c r="D140" s="546">
        <v>0</v>
      </c>
      <c r="E140" s="546">
        <v>1999</v>
      </c>
      <c r="F140" s="546">
        <v>29985</v>
      </c>
      <c r="G140" s="546">
        <v>29985</v>
      </c>
      <c r="H140" s="546">
        <v>14992</v>
      </c>
      <c r="I140" s="546">
        <v>14992</v>
      </c>
      <c r="J140" s="546">
        <v>1999</v>
      </c>
      <c r="K140" s="546">
        <v>0</v>
      </c>
      <c r="L140" s="546">
        <v>1999</v>
      </c>
      <c r="M140" s="546">
        <v>0</v>
      </c>
      <c r="N140" s="546">
        <v>0</v>
      </c>
      <c r="O140" s="546">
        <v>0</v>
      </c>
      <c r="P140" s="546">
        <v>0</v>
      </c>
      <c r="Q140" s="546">
        <v>1999</v>
      </c>
      <c r="R140" s="546">
        <v>2000</v>
      </c>
      <c r="S140" s="546">
        <v>0</v>
      </c>
      <c r="T140" s="546">
        <v>0</v>
      </c>
    </row>
    <row r="141" spans="1:20" ht="27.6" x14ac:dyDescent="0.25">
      <c r="A141" s="545" t="s">
        <v>945</v>
      </c>
      <c r="B141" s="546">
        <v>985615</v>
      </c>
      <c r="C141" s="546">
        <v>0</v>
      </c>
      <c r="D141" s="546">
        <v>0</v>
      </c>
      <c r="E141" s="546">
        <v>8066</v>
      </c>
      <c r="F141" s="546">
        <v>98907</v>
      </c>
      <c r="G141" s="546">
        <v>79727</v>
      </c>
      <c r="H141" s="546">
        <v>27217</v>
      </c>
      <c r="I141" s="546">
        <v>27204</v>
      </c>
      <c r="J141" s="546">
        <v>15583</v>
      </c>
      <c r="K141" s="546">
        <v>0</v>
      </c>
      <c r="L141" s="546">
        <v>93970</v>
      </c>
      <c r="M141" s="546">
        <v>45241</v>
      </c>
      <c r="N141" s="546">
        <v>15081</v>
      </c>
      <c r="O141" s="546">
        <v>0</v>
      </c>
      <c r="P141" s="546">
        <v>0</v>
      </c>
      <c r="Q141" s="546">
        <v>3486</v>
      </c>
      <c r="R141" s="546">
        <v>571133</v>
      </c>
      <c r="S141" s="546">
        <v>0</v>
      </c>
      <c r="T141" s="546">
        <v>0</v>
      </c>
    </row>
    <row r="142" spans="1:20" ht="27.6" x14ac:dyDescent="0.25">
      <c r="A142" s="545" t="s">
        <v>903</v>
      </c>
      <c r="B142" s="546">
        <v>104427277</v>
      </c>
      <c r="C142" s="546">
        <v>0</v>
      </c>
      <c r="D142" s="546">
        <v>0</v>
      </c>
      <c r="E142" s="546">
        <v>2099196</v>
      </c>
      <c r="F142" s="546">
        <v>20957913</v>
      </c>
      <c r="G142" s="546">
        <v>16080843</v>
      </c>
      <c r="H142" s="546">
        <v>9058953</v>
      </c>
      <c r="I142" s="546">
        <v>8776416</v>
      </c>
      <c r="J142" s="546">
        <v>2553927</v>
      </c>
      <c r="K142" s="546">
        <v>4045810</v>
      </c>
      <c r="L142" s="546">
        <v>1873875</v>
      </c>
      <c r="M142" s="546">
        <v>821037</v>
      </c>
      <c r="N142" s="546">
        <v>452169</v>
      </c>
      <c r="O142" s="546">
        <v>871440</v>
      </c>
      <c r="P142" s="546">
        <v>1425574</v>
      </c>
      <c r="Q142" s="546">
        <v>33555595</v>
      </c>
      <c r="R142" s="546">
        <v>558292</v>
      </c>
      <c r="S142" s="546">
        <v>1296237</v>
      </c>
      <c r="T142" s="546">
        <v>0</v>
      </c>
    </row>
    <row r="143" spans="1:20" ht="13.8" x14ac:dyDescent="0.25">
      <c r="A143" s="545" t="s">
        <v>904</v>
      </c>
      <c r="B143" s="546">
        <v>789557</v>
      </c>
      <c r="C143" s="546">
        <v>0</v>
      </c>
      <c r="D143" s="546">
        <v>0</v>
      </c>
      <c r="E143" s="546">
        <v>0</v>
      </c>
      <c r="F143" s="546">
        <v>228868</v>
      </c>
      <c r="G143" s="546">
        <v>140689</v>
      </c>
      <c r="H143" s="546">
        <v>48000</v>
      </c>
      <c r="I143" s="546">
        <v>24000</v>
      </c>
      <c r="J143" s="546">
        <v>24000</v>
      </c>
      <c r="K143" s="546">
        <v>19200</v>
      </c>
      <c r="L143" s="546">
        <v>4800</v>
      </c>
      <c r="M143" s="546">
        <v>0</v>
      </c>
      <c r="N143" s="546">
        <v>192000</v>
      </c>
      <c r="O143" s="546">
        <v>0</v>
      </c>
      <c r="P143" s="546">
        <v>0</v>
      </c>
      <c r="Q143" s="546">
        <v>60000</v>
      </c>
      <c r="R143" s="546">
        <v>0</v>
      </c>
      <c r="S143" s="546">
        <v>48000</v>
      </c>
      <c r="T143" s="546">
        <v>0</v>
      </c>
    </row>
    <row r="144" spans="1:20" ht="27.6" x14ac:dyDescent="0.25">
      <c r="A144" s="545" t="s">
        <v>905</v>
      </c>
      <c r="B144" s="546">
        <v>105216834</v>
      </c>
      <c r="C144" s="546">
        <v>0</v>
      </c>
      <c r="D144" s="546">
        <v>0</v>
      </c>
      <c r="E144" s="546">
        <v>2099196</v>
      </c>
      <c r="F144" s="546">
        <v>21186781</v>
      </c>
      <c r="G144" s="546">
        <v>16221532</v>
      </c>
      <c r="H144" s="546">
        <v>9106953</v>
      </c>
      <c r="I144" s="546">
        <v>8800416</v>
      </c>
      <c r="J144" s="546">
        <v>2577927</v>
      </c>
      <c r="K144" s="546">
        <v>4065010</v>
      </c>
      <c r="L144" s="546">
        <v>1878675</v>
      </c>
      <c r="M144" s="546">
        <v>821037</v>
      </c>
      <c r="N144" s="546">
        <v>644169</v>
      </c>
      <c r="O144" s="546">
        <v>871440</v>
      </c>
      <c r="P144" s="546">
        <v>1425574</v>
      </c>
      <c r="Q144" s="546">
        <v>33615595</v>
      </c>
      <c r="R144" s="546">
        <v>558292</v>
      </c>
      <c r="S144" s="546">
        <v>1344237</v>
      </c>
      <c r="T144" s="546">
        <v>0</v>
      </c>
    </row>
    <row r="145" spans="1:20" ht="13.8" x14ac:dyDescent="0.25">
      <c r="A145" s="547" t="s">
        <v>906</v>
      </c>
      <c r="B145" s="548">
        <v>524882455</v>
      </c>
      <c r="C145" s="548">
        <v>0</v>
      </c>
      <c r="D145" s="548">
        <v>0</v>
      </c>
      <c r="E145" s="548">
        <v>10163309</v>
      </c>
      <c r="F145" s="548">
        <v>108375136</v>
      </c>
      <c r="G145" s="548">
        <v>82270448</v>
      </c>
      <c r="H145" s="548">
        <v>46783101</v>
      </c>
      <c r="I145" s="548">
        <v>45123130</v>
      </c>
      <c r="J145" s="548">
        <v>13135309</v>
      </c>
      <c r="K145" s="548">
        <v>19547488</v>
      </c>
      <c r="L145" s="548">
        <v>10072574</v>
      </c>
      <c r="M145" s="548">
        <v>4413393</v>
      </c>
      <c r="N145" s="548">
        <v>3007262</v>
      </c>
      <c r="O145" s="548">
        <v>4322515</v>
      </c>
      <c r="P145" s="548">
        <v>6715457</v>
      </c>
      <c r="Q145" s="548">
        <v>158727604</v>
      </c>
      <c r="R145" s="548">
        <v>3605324</v>
      </c>
      <c r="S145" s="548">
        <v>8620405</v>
      </c>
      <c r="T145" s="548">
        <v>0</v>
      </c>
    </row>
    <row r="146" spans="1:20" ht="27.6" x14ac:dyDescent="0.25">
      <c r="A146" s="545" t="s">
        <v>946</v>
      </c>
      <c r="B146" s="546">
        <v>980960</v>
      </c>
      <c r="C146" s="546">
        <v>0</v>
      </c>
      <c r="D146" s="546">
        <v>0</v>
      </c>
      <c r="E146" s="546">
        <v>88640</v>
      </c>
      <c r="F146" s="546">
        <v>215454</v>
      </c>
      <c r="G146" s="546">
        <v>129186</v>
      </c>
      <c r="H146" s="546">
        <v>133165</v>
      </c>
      <c r="I146" s="546">
        <v>130115</v>
      </c>
      <c r="J146" s="546">
        <v>0</v>
      </c>
      <c r="K146" s="546">
        <v>0</v>
      </c>
      <c r="L146" s="546">
        <v>284400</v>
      </c>
      <c r="M146" s="546">
        <v>0</v>
      </c>
      <c r="N146" s="546">
        <v>0</v>
      </c>
      <c r="O146" s="546">
        <v>0</v>
      </c>
      <c r="P146" s="546">
        <v>0</v>
      </c>
      <c r="Q146" s="546">
        <v>0</v>
      </c>
      <c r="R146" s="546">
        <v>0</v>
      </c>
      <c r="S146" s="546">
        <v>0</v>
      </c>
      <c r="T146" s="546">
        <v>0</v>
      </c>
    </row>
    <row r="147" spans="1:20" ht="27.6" x14ac:dyDescent="0.25">
      <c r="A147" s="547" t="s">
        <v>947</v>
      </c>
      <c r="B147" s="548">
        <v>980960</v>
      </c>
      <c r="C147" s="548">
        <v>0</v>
      </c>
      <c r="D147" s="548">
        <v>0</v>
      </c>
      <c r="E147" s="548">
        <v>88640</v>
      </c>
      <c r="F147" s="548">
        <v>215454</v>
      </c>
      <c r="G147" s="548">
        <v>129186</v>
      </c>
      <c r="H147" s="548">
        <v>133165</v>
      </c>
      <c r="I147" s="548">
        <v>130115</v>
      </c>
      <c r="J147" s="548">
        <v>0</v>
      </c>
      <c r="K147" s="548">
        <v>0</v>
      </c>
      <c r="L147" s="548">
        <v>284400</v>
      </c>
      <c r="M147" s="548">
        <v>0</v>
      </c>
      <c r="N147" s="548">
        <v>0</v>
      </c>
      <c r="O147" s="548">
        <v>0</v>
      </c>
      <c r="P147" s="548">
        <v>0</v>
      </c>
      <c r="Q147" s="548">
        <v>0</v>
      </c>
      <c r="R147" s="548">
        <v>0</v>
      </c>
      <c r="S147" s="548">
        <v>0</v>
      </c>
      <c r="T147" s="548">
        <v>0</v>
      </c>
    </row>
    <row r="148" spans="1:20" ht="27.6" x14ac:dyDescent="0.25">
      <c r="A148" s="545" t="s">
        <v>907</v>
      </c>
      <c r="B148" s="546">
        <v>7778838</v>
      </c>
      <c r="C148" s="546">
        <v>7778838</v>
      </c>
      <c r="D148" s="546">
        <v>0</v>
      </c>
      <c r="E148" s="546">
        <v>0</v>
      </c>
      <c r="F148" s="546">
        <v>0</v>
      </c>
      <c r="G148" s="546">
        <v>0</v>
      </c>
      <c r="H148" s="546">
        <v>0</v>
      </c>
      <c r="I148" s="546">
        <v>0</v>
      </c>
      <c r="J148" s="546">
        <v>0</v>
      </c>
      <c r="K148" s="546">
        <v>0</v>
      </c>
      <c r="L148" s="546">
        <v>0</v>
      </c>
      <c r="M148" s="546">
        <v>0</v>
      </c>
      <c r="N148" s="546">
        <v>0</v>
      </c>
      <c r="O148" s="546">
        <v>0</v>
      </c>
      <c r="P148" s="546">
        <v>0</v>
      </c>
      <c r="Q148" s="546">
        <v>0</v>
      </c>
      <c r="R148" s="546">
        <v>0</v>
      </c>
      <c r="S148" s="546">
        <v>0</v>
      </c>
      <c r="T148" s="546">
        <v>0</v>
      </c>
    </row>
    <row r="149" spans="1:20" ht="13.8" x14ac:dyDescent="0.25">
      <c r="A149" s="545" t="s">
        <v>959</v>
      </c>
      <c r="B149" s="546">
        <v>7778838</v>
      </c>
      <c r="C149" s="546">
        <v>7778838</v>
      </c>
      <c r="D149" s="546">
        <v>0</v>
      </c>
      <c r="E149" s="546">
        <v>0</v>
      </c>
      <c r="F149" s="546">
        <v>0</v>
      </c>
      <c r="G149" s="546">
        <v>0</v>
      </c>
      <c r="H149" s="546">
        <v>0</v>
      </c>
      <c r="I149" s="546">
        <v>0</v>
      </c>
      <c r="J149" s="546">
        <v>0</v>
      </c>
      <c r="K149" s="546">
        <v>0</v>
      </c>
      <c r="L149" s="546">
        <v>0</v>
      </c>
      <c r="M149" s="546">
        <v>0</v>
      </c>
      <c r="N149" s="546">
        <v>0</v>
      </c>
      <c r="O149" s="546">
        <v>0</v>
      </c>
      <c r="P149" s="546">
        <v>0</v>
      </c>
      <c r="Q149" s="546">
        <v>0</v>
      </c>
      <c r="R149" s="546">
        <v>0</v>
      </c>
      <c r="S149" s="546">
        <v>0</v>
      </c>
      <c r="T149" s="546">
        <v>0</v>
      </c>
    </row>
    <row r="150" spans="1:20" ht="41.4" x14ac:dyDescent="0.25">
      <c r="A150" s="547" t="s">
        <v>912</v>
      </c>
      <c r="B150" s="548">
        <v>7778838</v>
      </c>
      <c r="C150" s="548">
        <v>7778838</v>
      </c>
      <c r="D150" s="548">
        <v>0</v>
      </c>
      <c r="E150" s="548">
        <v>0</v>
      </c>
      <c r="F150" s="548">
        <v>0</v>
      </c>
      <c r="G150" s="548">
        <v>0</v>
      </c>
      <c r="H150" s="548">
        <v>0</v>
      </c>
      <c r="I150" s="548">
        <v>0</v>
      </c>
      <c r="J150" s="548">
        <v>0</v>
      </c>
      <c r="K150" s="548">
        <v>0</v>
      </c>
      <c r="L150" s="548">
        <v>0</v>
      </c>
      <c r="M150" s="548">
        <v>0</v>
      </c>
      <c r="N150" s="548">
        <v>0</v>
      </c>
      <c r="O150" s="548">
        <v>0</v>
      </c>
      <c r="P150" s="548">
        <v>0</v>
      </c>
      <c r="Q150" s="548">
        <v>0</v>
      </c>
      <c r="R150" s="548">
        <v>0</v>
      </c>
      <c r="S150" s="548">
        <v>0</v>
      </c>
      <c r="T150" s="548">
        <v>0</v>
      </c>
    </row>
    <row r="151" spans="1:20" ht="13.8" x14ac:dyDescent="0.25">
      <c r="A151" s="545" t="s">
        <v>948</v>
      </c>
      <c r="B151" s="546">
        <v>2135236</v>
      </c>
      <c r="C151" s="546">
        <v>0</v>
      </c>
      <c r="D151" s="546">
        <v>0</v>
      </c>
      <c r="E151" s="546">
        <v>19562</v>
      </c>
      <c r="F151" s="546">
        <v>2023214</v>
      </c>
      <c r="G151" s="546">
        <v>0</v>
      </c>
      <c r="H151" s="546">
        <v>0</v>
      </c>
      <c r="I151" s="546">
        <v>0</v>
      </c>
      <c r="J151" s="546">
        <v>39047</v>
      </c>
      <c r="K151" s="546">
        <v>0</v>
      </c>
      <c r="L151" s="546">
        <v>0</v>
      </c>
      <c r="M151" s="546">
        <v>0</v>
      </c>
      <c r="N151" s="546">
        <v>0</v>
      </c>
      <c r="O151" s="546">
        <v>53413</v>
      </c>
      <c r="P151" s="546">
        <v>0</v>
      </c>
      <c r="Q151" s="546">
        <v>0</v>
      </c>
      <c r="R151" s="546">
        <v>0</v>
      </c>
      <c r="S151" s="546">
        <v>0</v>
      </c>
      <c r="T151" s="546">
        <v>0</v>
      </c>
    </row>
    <row r="152" spans="1:20" ht="13.8" x14ac:dyDescent="0.25">
      <c r="A152" s="545" t="s">
        <v>949</v>
      </c>
      <c r="B152" s="546">
        <v>1653280</v>
      </c>
      <c r="C152" s="546">
        <v>0</v>
      </c>
      <c r="D152" s="546">
        <v>0</v>
      </c>
      <c r="E152" s="546">
        <v>39720</v>
      </c>
      <c r="F152" s="546">
        <v>1090160</v>
      </c>
      <c r="G152" s="546">
        <v>0</v>
      </c>
      <c r="H152" s="546">
        <v>113816</v>
      </c>
      <c r="I152" s="546">
        <v>0</v>
      </c>
      <c r="J152" s="546">
        <v>129324</v>
      </c>
      <c r="K152" s="546">
        <v>0</v>
      </c>
      <c r="L152" s="546">
        <v>0</v>
      </c>
      <c r="M152" s="546">
        <v>0</v>
      </c>
      <c r="N152" s="546">
        <v>0</v>
      </c>
      <c r="O152" s="546">
        <v>221880</v>
      </c>
      <c r="P152" s="546">
        <v>0</v>
      </c>
      <c r="Q152" s="546">
        <v>0</v>
      </c>
      <c r="R152" s="546">
        <v>58380</v>
      </c>
      <c r="S152" s="546">
        <v>0</v>
      </c>
      <c r="T152" s="546">
        <v>0</v>
      </c>
    </row>
    <row r="153" spans="1:20" ht="13.8" x14ac:dyDescent="0.25">
      <c r="A153" s="545" t="s">
        <v>950</v>
      </c>
      <c r="B153" s="546">
        <v>8593261</v>
      </c>
      <c r="C153" s="546">
        <v>0</v>
      </c>
      <c r="D153" s="546">
        <v>0</v>
      </c>
      <c r="E153" s="546">
        <v>40109</v>
      </c>
      <c r="F153" s="546">
        <v>7539006</v>
      </c>
      <c r="G153" s="546">
        <v>0</v>
      </c>
      <c r="H153" s="546">
        <v>244570</v>
      </c>
      <c r="I153" s="546">
        <v>0</v>
      </c>
      <c r="J153" s="546">
        <v>171419</v>
      </c>
      <c r="K153" s="546">
        <v>0</v>
      </c>
      <c r="L153" s="546">
        <v>419582</v>
      </c>
      <c r="M153" s="546">
        <v>0</v>
      </c>
      <c r="N153" s="546">
        <v>0</v>
      </c>
      <c r="O153" s="546">
        <v>59047</v>
      </c>
      <c r="P153" s="546">
        <v>0</v>
      </c>
      <c r="Q153" s="546">
        <v>0</v>
      </c>
      <c r="R153" s="546">
        <v>119528</v>
      </c>
      <c r="S153" s="546">
        <v>0</v>
      </c>
      <c r="T153" s="546">
        <v>0</v>
      </c>
    </row>
    <row r="154" spans="1:20" ht="27.6" x14ac:dyDescent="0.25">
      <c r="A154" s="545" t="s">
        <v>951</v>
      </c>
      <c r="B154" s="546">
        <v>3241155</v>
      </c>
      <c r="C154" s="546">
        <v>0</v>
      </c>
      <c r="D154" s="546">
        <v>0</v>
      </c>
      <c r="E154" s="546">
        <v>26836</v>
      </c>
      <c r="F154" s="546">
        <v>2774214</v>
      </c>
      <c r="G154" s="546">
        <v>0</v>
      </c>
      <c r="H154" s="546">
        <v>96765</v>
      </c>
      <c r="I154" s="546">
        <v>0</v>
      </c>
      <c r="J154" s="546">
        <v>91744</v>
      </c>
      <c r="K154" s="546">
        <v>0</v>
      </c>
      <c r="L154" s="546">
        <v>113288</v>
      </c>
      <c r="M154" s="546">
        <v>0</v>
      </c>
      <c r="N154" s="546">
        <v>0</v>
      </c>
      <c r="O154" s="546">
        <v>90273</v>
      </c>
      <c r="P154" s="546">
        <v>0</v>
      </c>
      <c r="Q154" s="546">
        <v>0</v>
      </c>
      <c r="R154" s="546">
        <v>48035</v>
      </c>
      <c r="S154" s="546">
        <v>0</v>
      </c>
      <c r="T154" s="546">
        <v>0</v>
      </c>
    </row>
    <row r="155" spans="1:20" ht="27.6" x14ac:dyDescent="0.25">
      <c r="A155" s="547" t="s">
        <v>952</v>
      </c>
      <c r="B155" s="548">
        <v>15622932</v>
      </c>
      <c r="C155" s="548">
        <v>0</v>
      </c>
      <c r="D155" s="548">
        <v>0</v>
      </c>
      <c r="E155" s="548">
        <v>126227</v>
      </c>
      <c r="F155" s="548">
        <v>13426594</v>
      </c>
      <c r="G155" s="548">
        <v>0</v>
      </c>
      <c r="H155" s="548">
        <v>455151</v>
      </c>
      <c r="I155" s="548">
        <v>0</v>
      </c>
      <c r="J155" s="548">
        <v>431534</v>
      </c>
      <c r="K155" s="548">
        <v>0</v>
      </c>
      <c r="L155" s="548">
        <v>532870</v>
      </c>
      <c r="M155" s="548">
        <v>0</v>
      </c>
      <c r="N155" s="548">
        <v>0</v>
      </c>
      <c r="O155" s="548">
        <v>424613</v>
      </c>
      <c r="P155" s="548">
        <v>0</v>
      </c>
      <c r="Q155" s="548">
        <v>0</v>
      </c>
      <c r="R155" s="548">
        <v>225943</v>
      </c>
      <c r="S155" s="548">
        <v>0</v>
      </c>
      <c r="T155" s="548">
        <v>0</v>
      </c>
    </row>
    <row r="156" spans="1:20" ht="27.6" x14ac:dyDescent="0.25">
      <c r="A156" s="547" t="s">
        <v>916</v>
      </c>
      <c r="B156" s="548">
        <v>1496466452</v>
      </c>
      <c r="C156" s="548">
        <v>7778838</v>
      </c>
      <c r="D156" s="548">
        <v>364175</v>
      </c>
      <c r="E156" s="548">
        <v>43826368</v>
      </c>
      <c r="F156" s="548">
        <v>348198259</v>
      </c>
      <c r="G156" s="548">
        <v>227586256</v>
      </c>
      <c r="H156" s="548">
        <v>121213407</v>
      </c>
      <c r="I156" s="548">
        <v>115167043</v>
      </c>
      <c r="J156" s="548">
        <v>72383495</v>
      </c>
      <c r="K156" s="548">
        <v>49581909</v>
      </c>
      <c r="L156" s="548">
        <v>79372178</v>
      </c>
      <c r="M156" s="548">
        <v>28649294</v>
      </c>
      <c r="N156" s="548">
        <v>14677744</v>
      </c>
      <c r="O156" s="548">
        <v>27139379</v>
      </c>
      <c r="P156" s="548">
        <v>6805223</v>
      </c>
      <c r="Q156" s="548">
        <v>170547417</v>
      </c>
      <c r="R156" s="548">
        <v>161638919</v>
      </c>
      <c r="S156" s="548">
        <v>21536548</v>
      </c>
      <c r="T156" s="548">
        <v>0</v>
      </c>
    </row>
    <row r="157" spans="1:20" ht="13.8" x14ac:dyDescent="0.25">
      <c r="A157" s="550" t="s">
        <v>920</v>
      </c>
      <c r="B157" s="551">
        <v>1496466452</v>
      </c>
      <c r="C157" s="551">
        <v>7778838</v>
      </c>
      <c r="D157" s="551">
        <v>364175</v>
      </c>
      <c r="E157" s="551">
        <v>43826368</v>
      </c>
      <c r="F157" s="551">
        <v>348198259</v>
      </c>
      <c r="G157" s="551">
        <v>227586256</v>
      </c>
      <c r="H157" s="551">
        <v>121213407</v>
      </c>
      <c r="I157" s="551">
        <v>115167043</v>
      </c>
      <c r="J157" s="551">
        <v>72383495</v>
      </c>
      <c r="K157" s="551">
        <v>49581909</v>
      </c>
      <c r="L157" s="551">
        <v>79372178</v>
      </c>
      <c r="M157" s="551">
        <v>28649294</v>
      </c>
      <c r="N157" s="551">
        <v>14677744</v>
      </c>
      <c r="O157" s="551">
        <v>27139379</v>
      </c>
      <c r="P157" s="551">
        <v>6805223</v>
      </c>
      <c r="Q157" s="551">
        <v>170547417</v>
      </c>
      <c r="R157" s="551">
        <v>161638919</v>
      </c>
      <c r="S157" s="551">
        <v>21536548</v>
      </c>
      <c r="T157" s="551">
        <v>0</v>
      </c>
    </row>
    <row r="158" spans="1:20" ht="13.8" x14ac:dyDescent="0.25">
      <c r="A158" s="558" t="s">
        <v>953</v>
      </c>
      <c r="B158" s="559">
        <v>124</v>
      </c>
      <c r="C158" s="559">
        <v>0</v>
      </c>
      <c r="D158" s="559">
        <v>0</v>
      </c>
      <c r="E158" s="559">
        <v>5</v>
      </c>
      <c r="F158" s="559">
        <v>28</v>
      </c>
      <c r="G158" s="559">
        <v>15</v>
      </c>
      <c r="H158" s="559">
        <v>15</v>
      </c>
      <c r="I158" s="559">
        <v>9</v>
      </c>
      <c r="J158" s="559">
        <v>8</v>
      </c>
      <c r="K158" s="559">
        <v>5</v>
      </c>
      <c r="L158" s="559">
        <v>9</v>
      </c>
      <c r="M158" s="559">
        <v>3</v>
      </c>
      <c r="N158" s="559">
        <v>2</v>
      </c>
      <c r="O158" s="559">
        <v>1</v>
      </c>
      <c r="P158" s="559">
        <v>0</v>
      </c>
      <c r="Q158" s="559">
        <v>1</v>
      </c>
      <c r="R158" s="559">
        <v>22</v>
      </c>
      <c r="S158" s="559">
        <v>1</v>
      </c>
      <c r="T158" s="559">
        <v>0</v>
      </c>
    </row>
    <row r="161" spans="1:26" x14ac:dyDescent="0.25">
      <c r="A161" s="83" t="s">
        <v>886</v>
      </c>
    </row>
    <row r="163" spans="1:26" ht="62.4" x14ac:dyDescent="0.25">
      <c r="A163" s="560" t="s">
        <v>110</v>
      </c>
      <c r="B163" s="560" t="s">
        <v>38</v>
      </c>
      <c r="C163" s="560" t="s">
        <v>840</v>
      </c>
      <c r="D163" s="560" t="s">
        <v>888</v>
      </c>
      <c r="E163" s="560" t="s">
        <v>295</v>
      </c>
      <c r="F163" s="560" t="s">
        <v>871</v>
      </c>
      <c r="G163" s="560" t="s">
        <v>889</v>
      </c>
      <c r="H163" s="560" t="s">
        <v>872</v>
      </c>
      <c r="I163" s="560" t="s">
        <v>841</v>
      </c>
      <c r="J163" s="560" t="s">
        <v>873</v>
      </c>
      <c r="K163" s="560" t="s">
        <v>874</v>
      </c>
      <c r="L163" s="560" t="s">
        <v>875</v>
      </c>
      <c r="M163" s="560" t="s">
        <v>296</v>
      </c>
      <c r="N163" s="560" t="s">
        <v>876</v>
      </c>
      <c r="O163" s="560" t="s">
        <v>864</v>
      </c>
      <c r="P163" s="560" t="s">
        <v>865</v>
      </c>
      <c r="Q163" s="560" t="s">
        <v>866</v>
      </c>
      <c r="R163" s="560" t="s">
        <v>877</v>
      </c>
      <c r="S163" s="560" t="s">
        <v>954</v>
      </c>
      <c r="T163" s="560" t="s">
        <v>955</v>
      </c>
      <c r="U163" s="560" t="s">
        <v>878</v>
      </c>
      <c r="V163" s="560" t="s">
        <v>956</v>
      </c>
      <c r="W163" s="560" t="s">
        <v>879</v>
      </c>
      <c r="X163" s="560" t="s">
        <v>880</v>
      </c>
      <c r="Y163" s="560" t="s">
        <v>881</v>
      </c>
      <c r="Z163" s="560" t="s">
        <v>842</v>
      </c>
    </row>
    <row r="164" spans="1:26" ht="13.8" x14ac:dyDescent="0.25">
      <c r="A164" s="545" t="s">
        <v>921</v>
      </c>
      <c r="B164" s="546">
        <v>990777523</v>
      </c>
      <c r="C164" s="546">
        <v>0</v>
      </c>
      <c r="D164" s="546">
        <v>0</v>
      </c>
      <c r="E164" s="546">
        <v>0</v>
      </c>
      <c r="F164" s="546">
        <v>341946</v>
      </c>
      <c r="G164" s="546">
        <v>0</v>
      </c>
      <c r="H164" s="546">
        <v>24838875</v>
      </c>
      <c r="I164" s="546">
        <v>162757543</v>
      </c>
      <c r="J164" s="546">
        <v>104842734</v>
      </c>
      <c r="K164" s="546">
        <v>53776279</v>
      </c>
      <c r="L164" s="546">
        <v>50777405</v>
      </c>
      <c r="M164" s="546">
        <v>44579764</v>
      </c>
      <c r="N164" s="546">
        <v>22839730</v>
      </c>
      <c r="O164" s="546">
        <v>36625330</v>
      </c>
      <c r="P164" s="546">
        <v>124097605</v>
      </c>
      <c r="Q164" s="546">
        <v>141749664</v>
      </c>
      <c r="R164" s="546">
        <v>51743282</v>
      </c>
      <c r="S164" s="546">
        <v>18750024</v>
      </c>
      <c r="T164" s="546">
        <v>8654306</v>
      </c>
      <c r="U164" s="546">
        <v>12684998</v>
      </c>
      <c r="V164" s="546">
        <v>55286</v>
      </c>
      <c r="W164" s="546">
        <v>8020410</v>
      </c>
      <c r="X164" s="546">
        <v>118029884</v>
      </c>
      <c r="Y164" s="546">
        <v>5612458</v>
      </c>
      <c r="Z164" s="546">
        <v>0</v>
      </c>
    </row>
    <row r="165" spans="1:26" ht="13.8" x14ac:dyDescent="0.25">
      <c r="A165" s="545" t="s">
        <v>922</v>
      </c>
      <c r="B165" s="546">
        <v>84547887</v>
      </c>
      <c r="C165" s="546">
        <v>0</v>
      </c>
      <c r="D165" s="546">
        <v>0</v>
      </c>
      <c r="E165" s="546">
        <v>0</v>
      </c>
      <c r="F165" s="546">
        <v>0</v>
      </c>
      <c r="G165" s="546">
        <v>0</v>
      </c>
      <c r="H165" s="546">
        <v>2203106</v>
      </c>
      <c r="I165" s="546">
        <v>13496831</v>
      </c>
      <c r="J165" s="546">
        <v>8747396</v>
      </c>
      <c r="K165" s="546">
        <v>4668082</v>
      </c>
      <c r="L165" s="546">
        <v>4411476</v>
      </c>
      <c r="M165" s="546">
        <v>3188589</v>
      </c>
      <c r="N165" s="546">
        <v>1543364</v>
      </c>
      <c r="O165" s="546">
        <v>2562614</v>
      </c>
      <c r="P165" s="546">
        <v>10373416</v>
      </c>
      <c r="Q165" s="546">
        <v>13311983</v>
      </c>
      <c r="R165" s="546">
        <v>4493643</v>
      </c>
      <c r="S165" s="546">
        <v>1724291</v>
      </c>
      <c r="T165" s="546">
        <v>517127</v>
      </c>
      <c r="U165" s="546">
        <v>1163253</v>
      </c>
      <c r="V165" s="546">
        <v>0</v>
      </c>
      <c r="W165" s="546">
        <v>726939</v>
      </c>
      <c r="X165" s="546">
        <v>10849634</v>
      </c>
      <c r="Y165" s="546">
        <v>566143</v>
      </c>
      <c r="Z165" s="546">
        <v>0</v>
      </c>
    </row>
    <row r="166" spans="1:26" ht="27.6" x14ac:dyDescent="0.25">
      <c r="A166" s="545" t="s">
        <v>923</v>
      </c>
      <c r="B166" s="546">
        <v>21806119</v>
      </c>
      <c r="C166" s="546">
        <v>0</v>
      </c>
      <c r="D166" s="546">
        <v>0</v>
      </c>
      <c r="E166" s="546">
        <v>0</v>
      </c>
      <c r="F166" s="546">
        <v>0</v>
      </c>
      <c r="G166" s="546">
        <v>0</v>
      </c>
      <c r="H166" s="546">
        <v>2332</v>
      </c>
      <c r="I166" s="546">
        <v>6130762</v>
      </c>
      <c r="J166" s="546">
        <v>3553304</v>
      </c>
      <c r="K166" s="546">
        <v>1685090</v>
      </c>
      <c r="L166" s="546">
        <v>1619077</v>
      </c>
      <c r="M166" s="546">
        <v>0</v>
      </c>
      <c r="N166" s="546">
        <v>3302</v>
      </c>
      <c r="O166" s="546">
        <v>2697043</v>
      </c>
      <c r="P166" s="546">
        <v>906250</v>
      </c>
      <c r="Q166" s="546">
        <v>475000</v>
      </c>
      <c r="R166" s="546">
        <v>640558</v>
      </c>
      <c r="S166" s="546">
        <v>331087</v>
      </c>
      <c r="T166" s="546">
        <v>31683</v>
      </c>
      <c r="U166" s="546">
        <v>0</v>
      </c>
      <c r="V166" s="546">
        <v>1577</v>
      </c>
      <c r="W166" s="546">
        <v>19654</v>
      </c>
      <c r="X166" s="546">
        <v>0</v>
      </c>
      <c r="Y166" s="546">
        <v>3709400</v>
      </c>
      <c r="Z166" s="546">
        <v>0</v>
      </c>
    </row>
    <row r="167" spans="1:26" ht="13.8" x14ac:dyDescent="0.25">
      <c r="A167" s="545" t="s">
        <v>924</v>
      </c>
      <c r="B167" s="546">
        <v>6843965</v>
      </c>
      <c r="C167" s="546">
        <v>0</v>
      </c>
      <c r="D167" s="546">
        <v>0</v>
      </c>
      <c r="E167" s="546">
        <v>0</v>
      </c>
      <c r="F167" s="546">
        <v>0</v>
      </c>
      <c r="G167" s="546">
        <v>0</v>
      </c>
      <c r="H167" s="546">
        <v>19560</v>
      </c>
      <c r="I167" s="546">
        <v>1010846</v>
      </c>
      <c r="J167" s="546">
        <v>734884</v>
      </c>
      <c r="K167" s="546">
        <v>829606</v>
      </c>
      <c r="L167" s="546">
        <v>767794</v>
      </c>
      <c r="M167" s="546">
        <v>671560</v>
      </c>
      <c r="N167" s="546">
        <v>0</v>
      </c>
      <c r="O167" s="546">
        <v>0</v>
      </c>
      <c r="P167" s="546">
        <v>0</v>
      </c>
      <c r="Q167" s="546">
        <v>1467000</v>
      </c>
      <c r="R167" s="546">
        <v>19560</v>
      </c>
      <c r="S167" s="546">
        <v>0</v>
      </c>
      <c r="T167" s="546">
        <v>0</v>
      </c>
      <c r="U167" s="546">
        <v>0</v>
      </c>
      <c r="V167" s="546">
        <v>0</v>
      </c>
      <c r="W167" s="546">
        <v>997560</v>
      </c>
      <c r="X167" s="546">
        <v>325595</v>
      </c>
      <c r="Y167" s="546">
        <v>0</v>
      </c>
      <c r="Z167" s="546">
        <v>0</v>
      </c>
    </row>
    <row r="168" spans="1:26" ht="13.8" x14ac:dyDescent="0.25">
      <c r="A168" s="545" t="s">
        <v>925</v>
      </c>
      <c r="B168" s="546">
        <v>41454978</v>
      </c>
      <c r="C168" s="546">
        <v>0</v>
      </c>
      <c r="D168" s="546">
        <v>0</v>
      </c>
      <c r="E168" s="546">
        <v>0</v>
      </c>
      <c r="F168" s="546">
        <v>0</v>
      </c>
      <c r="G168" s="546">
        <v>0</v>
      </c>
      <c r="H168" s="546">
        <v>897247</v>
      </c>
      <c r="I168" s="546">
        <v>6627691</v>
      </c>
      <c r="J168" s="546">
        <v>4372439</v>
      </c>
      <c r="K168" s="546">
        <v>2188842</v>
      </c>
      <c r="L168" s="546">
        <v>2153364</v>
      </c>
      <c r="M168" s="546">
        <v>1897362</v>
      </c>
      <c r="N168" s="546">
        <v>1172858</v>
      </c>
      <c r="O168" s="546">
        <v>1504092</v>
      </c>
      <c r="P168" s="546">
        <v>4760983</v>
      </c>
      <c r="Q168" s="546">
        <v>5728996</v>
      </c>
      <c r="R168" s="546">
        <v>2088714</v>
      </c>
      <c r="S168" s="546">
        <v>857896</v>
      </c>
      <c r="T168" s="546">
        <v>422018</v>
      </c>
      <c r="U168" s="546">
        <v>500000</v>
      </c>
      <c r="V168" s="546">
        <v>0</v>
      </c>
      <c r="W168" s="546">
        <v>279077</v>
      </c>
      <c r="X168" s="546">
        <v>5753399</v>
      </c>
      <c r="Y168" s="546">
        <v>250000</v>
      </c>
      <c r="Z168" s="546">
        <v>0</v>
      </c>
    </row>
    <row r="169" spans="1:26" ht="13.8" x14ac:dyDescent="0.25">
      <c r="A169" s="545" t="s">
        <v>926</v>
      </c>
      <c r="B169" s="546">
        <v>11831528</v>
      </c>
      <c r="C169" s="546">
        <v>0</v>
      </c>
      <c r="D169" s="546">
        <v>0</v>
      </c>
      <c r="E169" s="546">
        <v>0</v>
      </c>
      <c r="F169" s="546">
        <v>0</v>
      </c>
      <c r="G169" s="546">
        <v>0</v>
      </c>
      <c r="H169" s="546">
        <v>297637</v>
      </c>
      <c r="I169" s="546">
        <v>1711361</v>
      </c>
      <c r="J169" s="546">
        <v>1071043</v>
      </c>
      <c r="K169" s="546">
        <v>329448</v>
      </c>
      <c r="L169" s="546">
        <v>321426</v>
      </c>
      <c r="M169" s="546">
        <v>218053</v>
      </c>
      <c r="N169" s="546">
        <v>86251</v>
      </c>
      <c r="O169" s="546">
        <v>215364</v>
      </c>
      <c r="P169" s="546">
        <v>4125779</v>
      </c>
      <c r="Q169" s="546">
        <v>2048052</v>
      </c>
      <c r="R169" s="546">
        <v>414703</v>
      </c>
      <c r="S169" s="546">
        <v>57063</v>
      </c>
      <c r="T169" s="546">
        <v>112716</v>
      </c>
      <c r="U169" s="546">
        <v>0</v>
      </c>
      <c r="V169" s="546">
        <v>0</v>
      </c>
      <c r="W169" s="546">
        <v>5626</v>
      </c>
      <c r="X169" s="546">
        <v>630526</v>
      </c>
      <c r="Y169" s="546">
        <v>186480</v>
      </c>
      <c r="Z169" s="546">
        <v>0</v>
      </c>
    </row>
    <row r="170" spans="1:26" ht="27.6" x14ac:dyDescent="0.25">
      <c r="A170" s="545" t="s">
        <v>927</v>
      </c>
      <c r="B170" s="546">
        <v>21671582</v>
      </c>
      <c r="C170" s="546">
        <v>0</v>
      </c>
      <c r="D170" s="546">
        <v>0</v>
      </c>
      <c r="E170" s="546">
        <v>0</v>
      </c>
      <c r="F170" s="546">
        <v>0</v>
      </c>
      <c r="G170" s="546">
        <v>0</v>
      </c>
      <c r="H170" s="546">
        <v>248236</v>
      </c>
      <c r="I170" s="546">
        <v>3793464</v>
      </c>
      <c r="J170" s="546">
        <v>2004540</v>
      </c>
      <c r="K170" s="546">
        <v>773755</v>
      </c>
      <c r="L170" s="546">
        <v>730443</v>
      </c>
      <c r="M170" s="546">
        <v>1134658</v>
      </c>
      <c r="N170" s="546">
        <v>1176730</v>
      </c>
      <c r="O170" s="546">
        <v>734029</v>
      </c>
      <c r="P170" s="546">
        <v>2311044</v>
      </c>
      <c r="Q170" s="546">
        <v>3430475</v>
      </c>
      <c r="R170" s="546">
        <v>1148302</v>
      </c>
      <c r="S170" s="546">
        <v>510732</v>
      </c>
      <c r="T170" s="546">
        <v>506158</v>
      </c>
      <c r="U170" s="546">
        <v>251711</v>
      </c>
      <c r="V170" s="546">
        <v>23885</v>
      </c>
      <c r="W170" s="546">
        <v>323001</v>
      </c>
      <c r="X170" s="546">
        <v>2474169</v>
      </c>
      <c r="Y170" s="546">
        <v>96250</v>
      </c>
      <c r="Z170" s="546">
        <v>0</v>
      </c>
    </row>
    <row r="171" spans="1:26" ht="27.6" x14ac:dyDescent="0.25">
      <c r="A171" s="545" t="s">
        <v>928</v>
      </c>
      <c r="B171" s="546">
        <v>1178933582</v>
      </c>
      <c r="C171" s="546">
        <v>0</v>
      </c>
      <c r="D171" s="546">
        <v>0</v>
      </c>
      <c r="E171" s="546">
        <v>0</v>
      </c>
      <c r="F171" s="546">
        <v>341946</v>
      </c>
      <c r="G171" s="546">
        <v>0</v>
      </c>
      <c r="H171" s="546">
        <v>28506993</v>
      </c>
      <c r="I171" s="546">
        <v>195528498</v>
      </c>
      <c r="J171" s="546">
        <v>125326340</v>
      </c>
      <c r="K171" s="546">
        <v>64251102</v>
      </c>
      <c r="L171" s="546">
        <v>60780985</v>
      </c>
      <c r="M171" s="546">
        <v>51689986</v>
      </c>
      <c r="N171" s="546">
        <v>26822235</v>
      </c>
      <c r="O171" s="546">
        <v>44338472</v>
      </c>
      <c r="P171" s="546">
        <v>146575077</v>
      </c>
      <c r="Q171" s="546">
        <v>168211170</v>
      </c>
      <c r="R171" s="546">
        <v>60548762</v>
      </c>
      <c r="S171" s="546">
        <v>22231093</v>
      </c>
      <c r="T171" s="546">
        <v>10244008</v>
      </c>
      <c r="U171" s="546">
        <v>14599962</v>
      </c>
      <c r="V171" s="546">
        <v>80748</v>
      </c>
      <c r="W171" s="546">
        <v>10372267</v>
      </c>
      <c r="X171" s="546">
        <v>138063207</v>
      </c>
      <c r="Y171" s="546">
        <v>10420731</v>
      </c>
      <c r="Z171" s="546">
        <v>0</v>
      </c>
    </row>
    <row r="172" spans="1:26" ht="27.6" x14ac:dyDescent="0.25">
      <c r="A172" s="545" t="s">
        <v>929</v>
      </c>
      <c r="B172" s="546">
        <v>8985139</v>
      </c>
      <c r="C172" s="546">
        <v>0</v>
      </c>
      <c r="D172" s="546">
        <v>0</v>
      </c>
      <c r="E172" s="546">
        <v>0</v>
      </c>
      <c r="F172" s="546">
        <v>0</v>
      </c>
      <c r="G172" s="546">
        <v>0</v>
      </c>
      <c r="H172" s="546">
        <v>915543</v>
      </c>
      <c r="I172" s="546">
        <v>3341809</v>
      </c>
      <c r="J172" s="546">
        <v>1801189</v>
      </c>
      <c r="K172" s="546">
        <v>186949</v>
      </c>
      <c r="L172" s="546">
        <v>174711</v>
      </c>
      <c r="M172" s="546">
        <v>11873</v>
      </c>
      <c r="N172" s="546">
        <v>0</v>
      </c>
      <c r="O172" s="546">
        <v>1023060</v>
      </c>
      <c r="P172" s="546">
        <v>0</v>
      </c>
      <c r="Q172" s="546">
        <v>0</v>
      </c>
      <c r="R172" s="546">
        <v>11873</v>
      </c>
      <c r="S172" s="546">
        <v>0</v>
      </c>
      <c r="T172" s="546">
        <v>0</v>
      </c>
      <c r="U172" s="546">
        <v>0</v>
      </c>
      <c r="V172" s="546">
        <v>0</v>
      </c>
      <c r="W172" s="546">
        <v>11873</v>
      </c>
      <c r="X172" s="546">
        <v>393098</v>
      </c>
      <c r="Y172" s="546">
        <v>1113161</v>
      </c>
      <c r="Z172" s="546">
        <v>0</v>
      </c>
    </row>
    <row r="173" spans="1:26" ht="13.8" x14ac:dyDescent="0.25">
      <c r="A173" s="545" t="s">
        <v>890</v>
      </c>
      <c r="B173" s="546">
        <v>10901948</v>
      </c>
      <c r="C173" s="546">
        <v>576885</v>
      </c>
      <c r="D173" s="546">
        <v>0</v>
      </c>
      <c r="E173" s="546">
        <v>0</v>
      </c>
      <c r="F173" s="546">
        <v>0</v>
      </c>
      <c r="G173" s="546">
        <v>0</v>
      </c>
      <c r="H173" s="546">
        <v>53339</v>
      </c>
      <c r="I173" s="546">
        <v>983290</v>
      </c>
      <c r="J173" s="546">
        <v>800085</v>
      </c>
      <c r="K173" s="546">
        <v>400042</v>
      </c>
      <c r="L173" s="546">
        <v>400042</v>
      </c>
      <c r="M173" s="546">
        <v>53339</v>
      </c>
      <c r="N173" s="546">
        <v>0</v>
      </c>
      <c r="O173" s="546">
        <v>0</v>
      </c>
      <c r="P173" s="546">
        <v>0</v>
      </c>
      <c r="Q173" s="546">
        <v>827900</v>
      </c>
      <c r="R173" s="546">
        <v>53339</v>
      </c>
      <c r="S173" s="546">
        <v>0</v>
      </c>
      <c r="T173" s="546">
        <v>0</v>
      </c>
      <c r="U173" s="546">
        <v>5804608</v>
      </c>
      <c r="V173" s="546">
        <v>0</v>
      </c>
      <c r="W173" s="546">
        <v>53339</v>
      </c>
      <c r="X173" s="546">
        <v>895740</v>
      </c>
      <c r="Y173" s="546">
        <v>0</v>
      </c>
      <c r="Z173" s="546">
        <v>0</v>
      </c>
    </row>
    <row r="174" spans="1:26" ht="13.8" x14ac:dyDescent="0.25">
      <c r="A174" s="545" t="s">
        <v>891</v>
      </c>
      <c r="B174" s="546">
        <v>19887087</v>
      </c>
      <c r="C174" s="546">
        <v>576885</v>
      </c>
      <c r="D174" s="546">
        <v>0</v>
      </c>
      <c r="E174" s="546">
        <v>0</v>
      </c>
      <c r="F174" s="546">
        <v>0</v>
      </c>
      <c r="G174" s="546">
        <v>0</v>
      </c>
      <c r="H174" s="546">
        <v>968882</v>
      </c>
      <c r="I174" s="546">
        <v>4325099</v>
      </c>
      <c r="J174" s="546">
        <v>2601274</v>
      </c>
      <c r="K174" s="546">
        <v>586991</v>
      </c>
      <c r="L174" s="546">
        <v>574753</v>
      </c>
      <c r="M174" s="546">
        <v>65212</v>
      </c>
      <c r="N174" s="546">
        <v>0</v>
      </c>
      <c r="O174" s="546">
        <v>1023060</v>
      </c>
      <c r="P174" s="546">
        <v>0</v>
      </c>
      <c r="Q174" s="546">
        <v>827900</v>
      </c>
      <c r="R174" s="546">
        <v>65212</v>
      </c>
      <c r="S174" s="546">
        <v>0</v>
      </c>
      <c r="T174" s="546">
        <v>0</v>
      </c>
      <c r="U174" s="546">
        <v>5804608</v>
      </c>
      <c r="V174" s="546">
        <v>0</v>
      </c>
      <c r="W174" s="546">
        <v>65212</v>
      </c>
      <c r="X174" s="546">
        <v>1288838</v>
      </c>
      <c r="Y174" s="546">
        <v>1113161</v>
      </c>
      <c r="Z174" s="546">
        <v>0</v>
      </c>
    </row>
    <row r="175" spans="1:26" ht="13.8" x14ac:dyDescent="0.25">
      <c r="A175" s="547" t="s">
        <v>892</v>
      </c>
      <c r="B175" s="548">
        <v>1198820669</v>
      </c>
      <c r="C175" s="548">
        <v>576885</v>
      </c>
      <c r="D175" s="548">
        <v>0</v>
      </c>
      <c r="E175" s="548">
        <v>0</v>
      </c>
      <c r="F175" s="548">
        <v>341946</v>
      </c>
      <c r="G175" s="548">
        <v>0</v>
      </c>
      <c r="H175" s="548">
        <v>29475875</v>
      </c>
      <c r="I175" s="548">
        <v>199853597</v>
      </c>
      <c r="J175" s="548">
        <v>127927614</v>
      </c>
      <c r="K175" s="548">
        <v>64838093</v>
      </c>
      <c r="L175" s="548">
        <v>61355738</v>
      </c>
      <c r="M175" s="548">
        <v>51755198</v>
      </c>
      <c r="N175" s="548">
        <v>26822235</v>
      </c>
      <c r="O175" s="548">
        <v>45361532</v>
      </c>
      <c r="P175" s="548">
        <v>146575077</v>
      </c>
      <c r="Q175" s="548">
        <v>169039070</v>
      </c>
      <c r="R175" s="548">
        <v>60613974</v>
      </c>
      <c r="S175" s="548">
        <v>22231093</v>
      </c>
      <c r="T175" s="548">
        <v>10244008</v>
      </c>
      <c r="U175" s="548">
        <v>20404570</v>
      </c>
      <c r="V175" s="548">
        <v>80748</v>
      </c>
      <c r="W175" s="548">
        <v>10437479</v>
      </c>
      <c r="X175" s="548">
        <v>139352045</v>
      </c>
      <c r="Y175" s="548">
        <v>11533892</v>
      </c>
      <c r="Z175" s="548">
        <v>0</v>
      </c>
    </row>
    <row r="176" spans="1:26" ht="41.4" x14ac:dyDescent="0.25">
      <c r="A176" s="547" t="s">
        <v>893</v>
      </c>
      <c r="B176" s="548">
        <v>164105183</v>
      </c>
      <c r="C176" s="548">
        <v>191251</v>
      </c>
      <c r="D176" s="548">
        <v>0</v>
      </c>
      <c r="E176" s="548">
        <v>0</v>
      </c>
      <c r="F176" s="548">
        <v>22229</v>
      </c>
      <c r="G176" s="548">
        <v>0</v>
      </c>
      <c r="H176" s="548">
        <v>3972317</v>
      </c>
      <c r="I176" s="548">
        <v>26327478</v>
      </c>
      <c r="J176" s="548">
        <v>17259008</v>
      </c>
      <c r="K176" s="548">
        <v>9003897</v>
      </c>
      <c r="L176" s="548">
        <v>8558060</v>
      </c>
      <c r="M176" s="548">
        <v>7061454</v>
      </c>
      <c r="N176" s="548">
        <v>3212186</v>
      </c>
      <c r="O176" s="548">
        <v>6684416</v>
      </c>
      <c r="P176" s="548">
        <v>22188688</v>
      </c>
      <c r="Q176" s="548">
        <v>25107666</v>
      </c>
      <c r="R176" s="548">
        <v>7868360</v>
      </c>
      <c r="S176" s="548">
        <v>2004808</v>
      </c>
      <c r="T176" s="548">
        <v>1426474</v>
      </c>
      <c r="U176" s="548">
        <v>1987681</v>
      </c>
      <c r="V176" s="548">
        <v>9018</v>
      </c>
      <c r="W176" s="548">
        <v>1382334</v>
      </c>
      <c r="X176" s="548">
        <v>18455607</v>
      </c>
      <c r="Y176" s="548">
        <v>1382251</v>
      </c>
      <c r="Z176" s="548">
        <v>0</v>
      </c>
    </row>
    <row r="177" spans="1:26" ht="13.8" x14ac:dyDescent="0.25">
      <c r="A177" s="545" t="s">
        <v>894</v>
      </c>
      <c r="B177" s="546">
        <v>147621295</v>
      </c>
      <c r="C177" s="546">
        <v>96295</v>
      </c>
      <c r="D177" s="546">
        <v>0</v>
      </c>
      <c r="E177" s="546">
        <v>0</v>
      </c>
      <c r="F177" s="546">
        <v>22229</v>
      </c>
      <c r="G177" s="546">
        <v>0</v>
      </c>
      <c r="H177" s="546">
        <v>3759176</v>
      </c>
      <c r="I177" s="546">
        <v>24336863</v>
      </c>
      <c r="J177" s="546">
        <v>15621408</v>
      </c>
      <c r="K177" s="546">
        <v>8069284</v>
      </c>
      <c r="L177" s="546">
        <v>7629992</v>
      </c>
      <c r="M177" s="546">
        <v>6711841</v>
      </c>
      <c r="N177" s="546">
        <v>2989080</v>
      </c>
      <c r="O177" s="546">
        <v>5744150</v>
      </c>
      <c r="P177" s="546">
        <v>18784647</v>
      </c>
      <c r="Q177" s="546">
        <v>21774203</v>
      </c>
      <c r="R177" s="546">
        <v>7467544</v>
      </c>
      <c r="S177" s="546">
        <v>1856708</v>
      </c>
      <c r="T177" s="546">
        <v>1317070</v>
      </c>
      <c r="U177" s="546">
        <v>1897996</v>
      </c>
      <c r="V177" s="546">
        <v>9018</v>
      </c>
      <c r="W177" s="546">
        <v>1276604</v>
      </c>
      <c r="X177" s="546">
        <v>16912436</v>
      </c>
      <c r="Y177" s="546">
        <v>1344751</v>
      </c>
      <c r="Z177" s="546">
        <v>0</v>
      </c>
    </row>
    <row r="178" spans="1:26" ht="13.8" x14ac:dyDescent="0.25">
      <c r="A178" s="545" t="s">
        <v>930</v>
      </c>
      <c r="B178" s="546">
        <v>5214000</v>
      </c>
      <c r="C178" s="546">
        <v>0</v>
      </c>
      <c r="D178" s="546">
        <v>0</v>
      </c>
      <c r="E178" s="546">
        <v>0</v>
      </c>
      <c r="F178" s="546">
        <v>0</v>
      </c>
      <c r="G178" s="546">
        <v>0</v>
      </c>
      <c r="H178" s="546">
        <v>33400</v>
      </c>
      <c r="I178" s="546">
        <v>501000</v>
      </c>
      <c r="J178" s="546">
        <v>501000</v>
      </c>
      <c r="K178" s="546">
        <v>250500</v>
      </c>
      <c r="L178" s="546">
        <v>250500</v>
      </c>
      <c r="M178" s="546">
        <v>33400</v>
      </c>
      <c r="N178" s="546">
        <v>0</v>
      </c>
      <c r="O178" s="546">
        <v>708800</v>
      </c>
      <c r="P178" s="546">
        <v>1772000</v>
      </c>
      <c r="Q178" s="546">
        <v>1063200</v>
      </c>
      <c r="R178" s="546">
        <v>33400</v>
      </c>
      <c r="S178" s="546">
        <v>0</v>
      </c>
      <c r="T178" s="546">
        <v>0</v>
      </c>
      <c r="U178" s="546">
        <v>0</v>
      </c>
      <c r="V178" s="546">
        <v>0</v>
      </c>
      <c r="W178" s="546">
        <v>33400</v>
      </c>
      <c r="X178" s="546">
        <v>33400</v>
      </c>
      <c r="Y178" s="546">
        <v>0</v>
      </c>
      <c r="Z178" s="546">
        <v>0</v>
      </c>
    </row>
    <row r="179" spans="1:26" ht="13.8" x14ac:dyDescent="0.25">
      <c r="A179" s="545" t="s">
        <v>931</v>
      </c>
      <c r="B179" s="546">
        <v>4449932</v>
      </c>
      <c r="C179" s="546">
        <v>0</v>
      </c>
      <c r="D179" s="546">
        <v>0</v>
      </c>
      <c r="E179" s="546">
        <v>0</v>
      </c>
      <c r="F179" s="546">
        <v>0</v>
      </c>
      <c r="G179" s="546">
        <v>0</v>
      </c>
      <c r="H179" s="546">
        <v>37922</v>
      </c>
      <c r="I179" s="546">
        <v>387676</v>
      </c>
      <c r="J179" s="546">
        <v>372663</v>
      </c>
      <c r="K179" s="546">
        <v>295945</v>
      </c>
      <c r="L179" s="546">
        <v>294051</v>
      </c>
      <c r="M179" s="546">
        <v>23600</v>
      </c>
      <c r="N179" s="546">
        <v>46511</v>
      </c>
      <c r="O179" s="546">
        <v>5853</v>
      </c>
      <c r="P179" s="546">
        <v>917895</v>
      </c>
      <c r="Q179" s="546">
        <v>1282022</v>
      </c>
      <c r="R179" s="546">
        <v>46874</v>
      </c>
      <c r="S179" s="546">
        <v>19416</v>
      </c>
      <c r="T179" s="546">
        <v>46101</v>
      </c>
      <c r="U179" s="546">
        <v>14685</v>
      </c>
      <c r="V179" s="546">
        <v>0</v>
      </c>
      <c r="W179" s="546">
        <v>23237</v>
      </c>
      <c r="X179" s="546">
        <v>635481</v>
      </c>
      <c r="Y179" s="546">
        <v>0</v>
      </c>
      <c r="Z179" s="546">
        <v>0</v>
      </c>
    </row>
    <row r="180" spans="1:26" ht="27.6" x14ac:dyDescent="0.25">
      <c r="A180" s="545" t="s">
        <v>895</v>
      </c>
      <c r="B180" s="546">
        <v>6819956</v>
      </c>
      <c r="C180" s="546">
        <v>94956</v>
      </c>
      <c r="D180" s="546">
        <v>0</v>
      </c>
      <c r="E180" s="546">
        <v>0</v>
      </c>
      <c r="F180" s="546">
        <v>0</v>
      </c>
      <c r="G180" s="546">
        <v>0</v>
      </c>
      <c r="H180" s="546">
        <v>141819</v>
      </c>
      <c r="I180" s="546">
        <v>1101939</v>
      </c>
      <c r="J180" s="546">
        <v>763937</v>
      </c>
      <c r="K180" s="546">
        <v>388168</v>
      </c>
      <c r="L180" s="546">
        <v>383517</v>
      </c>
      <c r="M180" s="546">
        <v>292613</v>
      </c>
      <c r="N180" s="546">
        <v>176595</v>
      </c>
      <c r="O180" s="546">
        <v>225613</v>
      </c>
      <c r="P180" s="546">
        <v>714146</v>
      </c>
      <c r="Q180" s="546">
        <v>988241</v>
      </c>
      <c r="R180" s="546">
        <v>320542</v>
      </c>
      <c r="S180" s="546">
        <v>128684</v>
      </c>
      <c r="T180" s="546">
        <v>63303</v>
      </c>
      <c r="U180" s="546">
        <v>75000</v>
      </c>
      <c r="V180" s="546">
        <v>0</v>
      </c>
      <c r="W180" s="546">
        <v>49093</v>
      </c>
      <c r="X180" s="546">
        <v>874290</v>
      </c>
      <c r="Y180" s="546">
        <v>37500</v>
      </c>
      <c r="Z180" s="546">
        <v>0</v>
      </c>
    </row>
    <row r="181" spans="1:26" ht="13.8" x14ac:dyDescent="0.25">
      <c r="A181" s="545" t="s">
        <v>932</v>
      </c>
      <c r="B181" s="546">
        <v>5244388</v>
      </c>
      <c r="C181" s="546">
        <v>0</v>
      </c>
      <c r="D181" s="546">
        <v>0</v>
      </c>
      <c r="E181" s="546">
        <v>0</v>
      </c>
      <c r="F181" s="546">
        <v>0</v>
      </c>
      <c r="G181" s="546">
        <v>0</v>
      </c>
      <c r="H181" s="546">
        <v>9265</v>
      </c>
      <c r="I181" s="546">
        <v>1811885</v>
      </c>
      <c r="J181" s="546">
        <v>1065521</v>
      </c>
      <c r="K181" s="546">
        <v>882577</v>
      </c>
      <c r="L181" s="546">
        <v>834825</v>
      </c>
      <c r="M181" s="546">
        <v>139449</v>
      </c>
      <c r="N181" s="546">
        <v>132979</v>
      </c>
      <c r="O181" s="546">
        <v>0</v>
      </c>
      <c r="P181" s="546">
        <v>243931</v>
      </c>
      <c r="Q181" s="546">
        <v>14044</v>
      </c>
      <c r="R181" s="546">
        <v>60246</v>
      </c>
      <c r="S181" s="546">
        <v>28643</v>
      </c>
      <c r="T181" s="546">
        <v>9547</v>
      </c>
      <c r="U181" s="546">
        <v>0</v>
      </c>
      <c r="V181" s="546">
        <v>0</v>
      </c>
      <c r="W181" s="546">
        <v>2961</v>
      </c>
      <c r="X181" s="546">
        <v>2963</v>
      </c>
      <c r="Y181" s="546">
        <v>5552</v>
      </c>
      <c r="Z181" s="546">
        <v>0</v>
      </c>
    </row>
    <row r="182" spans="1:26" ht="13.8" x14ac:dyDescent="0.25">
      <c r="A182" s="545" t="s">
        <v>933</v>
      </c>
      <c r="B182" s="546">
        <v>36502000</v>
      </c>
      <c r="C182" s="546">
        <v>0</v>
      </c>
      <c r="D182" s="546">
        <v>0</v>
      </c>
      <c r="E182" s="546">
        <v>0</v>
      </c>
      <c r="F182" s="546">
        <v>0</v>
      </c>
      <c r="G182" s="546">
        <v>0</v>
      </c>
      <c r="H182" s="546">
        <v>256037</v>
      </c>
      <c r="I182" s="546">
        <v>11673141</v>
      </c>
      <c r="J182" s="546">
        <v>6803334</v>
      </c>
      <c r="K182" s="546">
        <v>4574482</v>
      </c>
      <c r="L182" s="546">
        <v>3458933</v>
      </c>
      <c r="M182" s="546">
        <v>1183654</v>
      </c>
      <c r="N182" s="546">
        <v>906781</v>
      </c>
      <c r="O182" s="546">
        <v>859748</v>
      </c>
      <c r="P182" s="546">
        <v>1336114</v>
      </c>
      <c r="Q182" s="546">
        <v>1202745</v>
      </c>
      <c r="R182" s="546">
        <v>1277117</v>
      </c>
      <c r="S182" s="546">
        <v>587327</v>
      </c>
      <c r="T182" s="546">
        <v>697073</v>
      </c>
      <c r="U182" s="546">
        <v>578225</v>
      </c>
      <c r="V182" s="546">
        <v>21427</v>
      </c>
      <c r="W182" s="546">
        <v>393562</v>
      </c>
      <c r="X182" s="546">
        <v>689926</v>
      </c>
      <c r="Y182" s="546">
        <v>2374</v>
      </c>
      <c r="Z182" s="546">
        <v>0</v>
      </c>
    </row>
    <row r="183" spans="1:26" ht="13.8" x14ac:dyDescent="0.25">
      <c r="A183" s="545" t="s">
        <v>934</v>
      </c>
      <c r="B183" s="546">
        <v>41746388</v>
      </c>
      <c r="C183" s="546">
        <v>0</v>
      </c>
      <c r="D183" s="546">
        <v>0</v>
      </c>
      <c r="E183" s="546">
        <v>0</v>
      </c>
      <c r="F183" s="546">
        <v>0</v>
      </c>
      <c r="G183" s="546">
        <v>0</v>
      </c>
      <c r="H183" s="546">
        <v>265302</v>
      </c>
      <c r="I183" s="546">
        <v>13485026</v>
      </c>
      <c r="J183" s="546">
        <v>7868855</v>
      </c>
      <c r="K183" s="546">
        <v>5457059</v>
      </c>
      <c r="L183" s="546">
        <v>4293758</v>
      </c>
      <c r="M183" s="546">
        <v>1323103</v>
      </c>
      <c r="N183" s="546">
        <v>1039760</v>
      </c>
      <c r="O183" s="546">
        <v>859748</v>
      </c>
      <c r="P183" s="546">
        <v>1580045</v>
      </c>
      <c r="Q183" s="546">
        <v>1216789</v>
      </c>
      <c r="R183" s="546">
        <v>1337363</v>
      </c>
      <c r="S183" s="546">
        <v>615970</v>
      </c>
      <c r="T183" s="546">
        <v>706620</v>
      </c>
      <c r="U183" s="546">
        <v>578225</v>
      </c>
      <c r="V183" s="546">
        <v>21427</v>
      </c>
      <c r="W183" s="546">
        <v>396523</v>
      </c>
      <c r="X183" s="546">
        <v>692889</v>
      </c>
      <c r="Y183" s="546">
        <v>7926</v>
      </c>
      <c r="Z183" s="546">
        <v>0</v>
      </c>
    </row>
    <row r="184" spans="1:26" ht="13.8" x14ac:dyDescent="0.25">
      <c r="A184" s="545" t="s">
        <v>896</v>
      </c>
      <c r="B184" s="546">
        <v>12079552</v>
      </c>
      <c r="C184" s="546">
        <v>12000</v>
      </c>
      <c r="D184" s="546">
        <v>0</v>
      </c>
      <c r="E184" s="546">
        <v>0</v>
      </c>
      <c r="F184" s="546">
        <v>0</v>
      </c>
      <c r="G184" s="546">
        <v>0</v>
      </c>
      <c r="H184" s="546">
        <v>160497</v>
      </c>
      <c r="I184" s="546">
        <v>1702338</v>
      </c>
      <c r="J184" s="546">
        <v>1505179</v>
      </c>
      <c r="K184" s="546">
        <v>642090</v>
      </c>
      <c r="L184" s="546">
        <v>641816</v>
      </c>
      <c r="M184" s="546">
        <v>479109</v>
      </c>
      <c r="N184" s="546">
        <v>343064</v>
      </c>
      <c r="O184" s="546">
        <v>766279</v>
      </c>
      <c r="P184" s="546">
        <v>2594397</v>
      </c>
      <c r="Q184" s="546">
        <v>1622452</v>
      </c>
      <c r="R184" s="546">
        <v>230813</v>
      </c>
      <c r="S184" s="546">
        <v>81173</v>
      </c>
      <c r="T184" s="546">
        <v>40033</v>
      </c>
      <c r="U184" s="546">
        <v>199010</v>
      </c>
      <c r="V184" s="546">
        <v>1331</v>
      </c>
      <c r="W184" s="546">
        <v>352225</v>
      </c>
      <c r="X184" s="546">
        <v>603489</v>
      </c>
      <c r="Y184" s="546">
        <v>102257</v>
      </c>
      <c r="Z184" s="546">
        <v>0</v>
      </c>
    </row>
    <row r="185" spans="1:26" ht="13.8" x14ac:dyDescent="0.25">
      <c r="A185" s="545" t="s">
        <v>935</v>
      </c>
      <c r="B185" s="546">
        <v>2646454</v>
      </c>
      <c r="C185" s="546">
        <v>0</v>
      </c>
      <c r="D185" s="546">
        <v>0</v>
      </c>
      <c r="E185" s="546">
        <v>0</v>
      </c>
      <c r="F185" s="546">
        <v>0</v>
      </c>
      <c r="G185" s="546">
        <v>0</v>
      </c>
      <c r="H185" s="546">
        <v>22318</v>
      </c>
      <c r="I185" s="546">
        <v>244295</v>
      </c>
      <c r="J185" s="546">
        <v>175765</v>
      </c>
      <c r="K185" s="546">
        <v>98451</v>
      </c>
      <c r="L185" s="546">
        <v>96451</v>
      </c>
      <c r="M185" s="546">
        <v>102384</v>
      </c>
      <c r="N185" s="546">
        <v>232738</v>
      </c>
      <c r="O185" s="546">
        <v>154058</v>
      </c>
      <c r="P185" s="546">
        <v>440618</v>
      </c>
      <c r="Q185" s="546">
        <v>488956</v>
      </c>
      <c r="R185" s="546">
        <v>123790</v>
      </c>
      <c r="S185" s="546">
        <v>59548</v>
      </c>
      <c r="T185" s="546">
        <v>38635</v>
      </c>
      <c r="U185" s="546">
        <v>52496</v>
      </c>
      <c r="V185" s="546">
        <v>134</v>
      </c>
      <c r="W185" s="546">
        <v>92205</v>
      </c>
      <c r="X185" s="546">
        <v>176445</v>
      </c>
      <c r="Y185" s="546">
        <v>47167</v>
      </c>
      <c r="Z185" s="546">
        <v>0</v>
      </c>
    </row>
    <row r="186" spans="1:26" ht="13.8" x14ac:dyDescent="0.25">
      <c r="A186" s="545" t="s">
        <v>897</v>
      </c>
      <c r="B186" s="546">
        <v>14726006</v>
      </c>
      <c r="C186" s="546">
        <v>12000</v>
      </c>
      <c r="D186" s="546">
        <v>0</v>
      </c>
      <c r="E186" s="546">
        <v>0</v>
      </c>
      <c r="F186" s="546">
        <v>0</v>
      </c>
      <c r="G186" s="546">
        <v>0</v>
      </c>
      <c r="H186" s="546">
        <v>182815</v>
      </c>
      <c r="I186" s="546">
        <v>1946633</v>
      </c>
      <c r="J186" s="546">
        <v>1680944</v>
      </c>
      <c r="K186" s="546">
        <v>740541</v>
      </c>
      <c r="L186" s="546">
        <v>738267</v>
      </c>
      <c r="M186" s="546">
        <v>581493</v>
      </c>
      <c r="N186" s="546">
        <v>575802</v>
      </c>
      <c r="O186" s="546">
        <v>920337</v>
      </c>
      <c r="P186" s="546">
        <v>3035015</v>
      </c>
      <c r="Q186" s="546">
        <v>2111408</v>
      </c>
      <c r="R186" s="546">
        <v>354603</v>
      </c>
      <c r="S186" s="546">
        <v>140721</v>
      </c>
      <c r="T186" s="546">
        <v>78668</v>
      </c>
      <c r="U186" s="546">
        <v>251506</v>
      </c>
      <c r="V186" s="546">
        <v>1465</v>
      </c>
      <c r="W186" s="546">
        <v>444430</v>
      </c>
      <c r="X186" s="546">
        <v>779934</v>
      </c>
      <c r="Y186" s="546">
        <v>149424</v>
      </c>
      <c r="Z186" s="546">
        <v>0</v>
      </c>
    </row>
    <row r="187" spans="1:26" ht="13.8" x14ac:dyDescent="0.25">
      <c r="A187" s="545" t="s">
        <v>936</v>
      </c>
      <c r="B187" s="546">
        <v>17083290</v>
      </c>
      <c r="C187" s="546">
        <v>0</v>
      </c>
      <c r="D187" s="546">
        <v>0</v>
      </c>
      <c r="E187" s="546">
        <v>0</v>
      </c>
      <c r="F187" s="546">
        <v>0</v>
      </c>
      <c r="G187" s="546">
        <v>0</v>
      </c>
      <c r="H187" s="546">
        <v>215584</v>
      </c>
      <c r="I187" s="546">
        <v>3583701</v>
      </c>
      <c r="J187" s="546">
        <v>3295026</v>
      </c>
      <c r="K187" s="546">
        <v>2005462</v>
      </c>
      <c r="L187" s="546">
        <v>2005464</v>
      </c>
      <c r="M187" s="546">
        <v>686852</v>
      </c>
      <c r="N187" s="546">
        <v>622681</v>
      </c>
      <c r="O187" s="546">
        <v>159299</v>
      </c>
      <c r="P187" s="546">
        <v>127550</v>
      </c>
      <c r="Q187" s="546">
        <v>85032</v>
      </c>
      <c r="R187" s="546">
        <v>2052247</v>
      </c>
      <c r="S187" s="546">
        <v>1026123</v>
      </c>
      <c r="T187" s="546">
        <v>342041</v>
      </c>
      <c r="U187" s="546">
        <v>646753</v>
      </c>
      <c r="V187" s="546">
        <v>0</v>
      </c>
      <c r="W187" s="546">
        <v>68842</v>
      </c>
      <c r="X187" s="546">
        <v>137686</v>
      </c>
      <c r="Y187" s="546">
        <v>22947</v>
      </c>
      <c r="Z187" s="546">
        <v>0</v>
      </c>
    </row>
    <row r="188" spans="1:26" ht="13.8" x14ac:dyDescent="0.25">
      <c r="A188" s="545" t="s">
        <v>937</v>
      </c>
      <c r="B188" s="546">
        <v>21075043</v>
      </c>
      <c r="C188" s="546">
        <v>0</v>
      </c>
      <c r="D188" s="546">
        <v>0</v>
      </c>
      <c r="E188" s="546">
        <v>0</v>
      </c>
      <c r="F188" s="546">
        <v>0</v>
      </c>
      <c r="G188" s="546">
        <v>0</v>
      </c>
      <c r="H188" s="546">
        <v>157265</v>
      </c>
      <c r="I188" s="546">
        <v>3670402</v>
      </c>
      <c r="J188" s="546">
        <v>3363776</v>
      </c>
      <c r="K188" s="546">
        <v>2135041</v>
      </c>
      <c r="L188" s="546">
        <v>2135038</v>
      </c>
      <c r="M188" s="546">
        <v>748530</v>
      </c>
      <c r="N188" s="546">
        <v>2786343</v>
      </c>
      <c r="O188" s="546">
        <v>1507827</v>
      </c>
      <c r="P188" s="546">
        <v>494007</v>
      </c>
      <c r="Q188" s="546">
        <v>329340</v>
      </c>
      <c r="R188" s="546">
        <v>1627951</v>
      </c>
      <c r="S188" s="546">
        <v>813975</v>
      </c>
      <c r="T188" s="546">
        <v>271326</v>
      </c>
      <c r="U188" s="546">
        <v>471788</v>
      </c>
      <c r="V188" s="546">
        <v>0</v>
      </c>
      <c r="W188" s="546">
        <v>168729</v>
      </c>
      <c r="X188" s="546">
        <v>337460</v>
      </c>
      <c r="Y188" s="546">
        <v>56245</v>
      </c>
      <c r="Z188" s="546">
        <v>0</v>
      </c>
    </row>
    <row r="189" spans="1:26" ht="13.8" x14ac:dyDescent="0.25">
      <c r="A189" s="545" t="s">
        <v>957</v>
      </c>
      <c r="B189" s="546">
        <v>2851140</v>
      </c>
      <c r="C189" s="546">
        <v>0</v>
      </c>
      <c r="D189" s="546">
        <v>0</v>
      </c>
      <c r="E189" s="546">
        <v>0</v>
      </c>
      <c r="F189" s="546">
        <v>0</v>
      </c>
      <c r="G189" s="546">
        <v>0</v>
      </c>
      <c r="H189" s="546">
        <v>356392</v>
      </c>
      <c r="I189" s="546">
        <v>1096320</v>
      </c>
      <c r="J189" s="546">
        <v>329251</v>
      </c>
      <c r="K189" s="546">
        <v>0</v>
      </c>
      <c r="L189" s="546">
        <v>0</v>
      </c>
      <c r="M189" s="546">
        <v>0</v>
      </c>
      <c r="N189" s="546">
        <v>0</v>
      </c>
      <c r="O189" s="546">
        <v>0</v>
      </c>
      <c r="P189" s="546">
        <v>0</v>
      </c>
      <c r="Q189" s="546">
        <v>0</v>
      </c>
      <c r="R189" s="546">
        <v>0</v>
      </c>
      <c r="S189" s="546">
        <v>0</v>
      </c>
      <c r="T189" s="546">
        <v>0</v>
      </c>
      <c r="U189" s="546">
        <v>1069177</v>
      </c>
      <c r="V189" s="546">
        <v>0</v>
      </c>
      <c r="W189" s="546">
        <v>0</v>
      </c>
      <c r="X189" s="546">
        <v>0</v>
      </c>
      <c r="Y189" s="546">
        <v>0</v>
      </c>
      <c r="Z189" s="546">
        <v>0</v>
      </c>
    </row>
    <row r="190" spans="1:26" ht="13.8" x14ac:dyDescent="0.25">
      <c r="A190" s="545" t="s">
        <v>938</v>
      </c>
      <c r="B190" s="546">
        <v>4235184</v>
      </c>
      <c r="C190" s="546">
        <v>0</v>
      </c>
      <c r="D190" s="546">
        <v>0</v>
      </c>
      <c r="E190" s="546">
        <v>0</v>
      </c>
      <c r="F190" s="546">
        <v>0</v>
      </c>
      <c r="G190" s="546">
        <v>0</v>
      </c>
      <c r="H190" s="546">
        <v>62896</v>
      </c>
      <c r="I190" s="546">
        <v>638836</v>
      </c>
      <c r="J190" s="546">
        <v>537114</v>
      </c>
      <c r="K190" s="546">
        <v>308125</v>
      </c>
      <c r="L190" s="546">
        <v>308122</v>
      </c>
      <c r="M190" s="546">
        <v>534880</v>
      </c>
      <c r="N190" s="546">
        <v>439804</v>
      </c>
      <c r="O190" s="546">
        <v>115790</v>
      </c>
      <c r="P190" s="546">
        <v>187854</v>
      </c>
      <c r="Q190" s="546">
        <v>125235</v>
      </c>
      <c r="R190" s="546">
        <v>433423</v>
      </c>
      <c r="S190" s="546">
        <v>216712</v>
      </c>
      <c r="T190" s="546">
        <v>72236</v>
      </c>
      <c r="U190" s="546">
        <v>188689</v>
      </c>
      <c r="V190" s="546">
        <v>0</v>
      </c>
      <c r="W190" s="546">
        <v>19642</v>
      </c>
      <c r="X190" s="546">
        <v>39285</v>
      </c>
      <c r="Y190" s="546">
        <v>6541</v>
      </c>
      <c r="Z190" s="546">
        <v>0</v>
      </c>
    </row>
    <row r="191" spans="1:26" ht="13.8" x14ac:dyDescent="0.25">
      <c r="A191" s="545" t="s">
        <v>939</v>
      </c>
      <c r="B191" s="546">
        <v>45244657</v>
      </c>
      <c r="C191" s="546">
        <v>0</v>
      </c>
      <c r="D191" s="546">
        <v>0</v>
      </c>
      <c r="E191" s="546">
        <v>0</v>
      </c>
      <c r="F191" s="546">
        <v>0</v>
      </c>
      <c r="G191" s="546">
        <v>0</v>
      </c>
      <c r="H191" s="546">
        <v>792137</v>
      </c>
      <c r="I191" s="546">
        <v>8989259</v>
      </c>
      <c r="J191" s="546">
        <v>7525167</v>
      </c>
      <c r="K191" s="546">
        <v>4448628</v>
      </c>
      <c r="L191" s="546">
        <v>4448624</v>
      </c>
      <c r="M191" s="546">
        <v>1970262</v>
      </c>
      <c r="N191" s="546">
        <v>3848828</v>
      </c>
      <c r="O191" s="546">
        <v>1782916</v>
      </c>
      <c r="P191" s="546">
        <v>809411</v>
      </c>
      <c r="Q191" s="546">
        <v>539607</v>
      </c>
      <c r="R191" s="546">
        <v>4113621</v>
      </c>
      <c r="S191" s="546">
        <v>2056810</v>
      </c>
      <c r="T191" s="546">
        <v>685603</v>
      </c>
      <c r="U191" s="546">
        <v>2376407</v>
      </c>
      <c r="V191" s="546">
        <v>0</v>
      </c>
      <c r="W191" s="546">
        <v>257213</v>
      </c>
      <c r="X191" s="546">
        <v>514431</v>
      </c>
      <c r="Y191" s="546">
        <v>85733</v>
      </c>
      <c r="Z191" s="546">
        <v>0</v>
      </c>
    </row>
    <row r="192" spans="1:26" ht="13.8" x14ac:dyDescent="0.25">
      <c r="A192" s="545" t="s">
        <v>940</v>
      </c>
      <c r="B192" s="546">
        <v>288835736</v>
      </c>
      <c r="C192" s="546">
        <v>0</v>
      </c>
      <c r="D192" s="546">
        <v>0</v>
      </c>
      <c r="E192" s="546">
        <v>0</v>
      </c>
      <c r="F192" s="546">
        <v>0</v>
      </c>
      <c r="G192" s="546">
        <v>0</v>
      </c>
      <c r="H192" s="546">
        <v>6190082</v>
      </c>
      <c r="I192" s="546">
        <v>48786993</v>
      </c>
      <c r="J192" s="546">
        <v>40129027</v>
      </c>
      <c r="K192" s="546">
        <v>22148398</v>
      </c>
      <c r="L192" s="546">
        <v>22148396</v>
      </c>
      <c r="M192" s="546">
        <v>5770293</v>
      </c>
      <c r="N192" s="546">
        <v>9060887</v>
      </c>
      <c r="O192" s="546">
        <v>3911878</v>
      </c>
      <c r="P192" s="546">
        <v>0</v>
      </c>
      <c r="Q192" s="546">
        <v>1109526</v>
      </c>
      <c r="R192" s="546">
        <v>606744</v>
      </c>
      <c r="S192" s="546">
        <v>0</v>
      </c>
      <c r="T192" s="546">
        <v>0</v>
      </c>
      <c r="U192" s="546">
        <v>0</v>
      </c>
      <c r="V192" s="546">
        <v>5266080</v>
      </c>
      <c r="W192" s="546">
        <v>123707432</v>
      </c>
      <c r="X192" s="546">
        <v>0</v>
      </c>
      <c r="Y192" s="546">
        <v>0</v>
      </c>
      <c r="Z192" s="546">
        <v>0</v>
      </c>
    </row>
    <row r="193" spans="1:26" ht="13.8" x14ac:dyDescent="0.25">
      <c r="A193" s="545" t="s">
        <v>941</v>
      </c>
      <c r="B193" s="546">
        <v>2907669</v>
      </c>
      <c r="C193" s="546">
        <v>0</v>
      </c>
      <c r="D193" s="546">
        <v>0</v>
      </c>
      <c r="E193" s="546">
        <v>0</v>
      </c>
      <c r="F193" s="546">
        <v>0</v>
      </c>
      <c r="G193" s="546">
        <v>0</v>
      </c>
      <c r="H193" s="546">
        <v>189</v>
      </c>
      <c r="I193" s="546">
        <v>11557</v>
      </c>
      <c r="J193" s="546">
        <v>8287</v>
      </c>
      <c r="K193" s="546">
        <v>3307</v>
      </c>
      <c r="L193" s="546">
        <v>2362</v>
      </c>
      <c r="M193" s="546">
        <v>1134</v>
      </c>
      <c r="N193" s="546">
        <v>756</v>
      </c>
      <c r="O193" s="546">
        <v>23490</v>
      </c>
      <c r="P193" s="546">
        <v>39740</v>
      </c>
      <c r="Q193" s="546">
        <v>42713</v>
      </c>
      <c r="R193" s="546">
        <v>5774</v>
      </c>
      <c r="S193" s="546">
        <v>2700</v>
      </c>
      <c r="T193" s="546">
        <v>10355</v>
      </c>
      <c r="U193" s="546">
        <v>0</v>
      </c>
      <c r="V193" s="546">
        <v>0</v>
      </c>
      <c r="W193" s="546">
        <v>189</v>
      </c>
      <c r="X193" s="546">
        <v>189</v>
      </c>
      <c r="Y193" s="546">
        <v>2754927</v>
      </c>
      <c r="Z193" s="546">
        <v>0</v>
      </c>
    </row>
    <row r="194" spans="1:26" ht="13.8" x14ac:dyDescent="0.25">
      <c r="A194" s="545" t="s">
        <v>898</v>
      </c>
      <c r="B194" s="546">
        <v>9990030</v>
      </c>
      <c r="C194" s="546">
        <v>0</v>
      </c>
      <c r="D194" s="546">
        <v>594596</v>
      </c>
      <c r="E194" s="546">
        <v>0</v>
      </c>
      <c r="F194" s="546">
        <v>0</v>
      </c>
      <c r="G194" s="546">
        <v>0</v>
      </c>
      <c r="H194" s="546">
        <v>99330</v>
      </c>
      <c r="I194" s="546">
        <v>2778429</v>
      </c>
      <c r="J194" s="546">
        <v>1925925</v>
      </c>
      <c r="K194" s="546">
        <v>1024057</v>
      </c>
      <c r="L194" s="546">
        <v>927092</v>
      </c>
      <c r="M194" s="546">
        <v>172057</v>
      </c>
      <c r="N194" s="546">
        <v>426806</v>
      </c>
      <c r="O194" s="546">
        <v>314020</v>
      </c>
      <c r="P194" s="546">
        <v>387092</v>
      </c>
      <c r="Q194" s="546">
        <v>257643</v>
      </c>
      <c r="R194" s="546">
        <v>563097</v>
      </c>
      <c r="S194" s="546">
        <v>268512</v>
      </c>
      <c r="T194" s="546">
        <v>197993</v>
      </c>
      <c r="U194" s="546">
        <v>0</v>
      </c>
      <c r="V194" s="546">
        <v>0</v>
      </c>
      <c r="W194" s="546">
        <v>13014</v>
      </c>
      <c r="X194" s="546">
        <v>36856</v>
      </c>
      <c r="Y194" s="546">
        <v>3511</v>
      </c>
      <c r="Z194" s="546">
        <v>0</v>
      </c>
    </row>
    <row r="195" spans="1:26" ht="13.8" x14ac:dyDescent="0.25">
      <c r="A195" s="545" t="s">
        <v>899</v>
      </c>
      <c r="B195" s="546">
        <v>1576131</v>
      </c>
      <c r="C195" s="546">
        <v>22000</v>
      </c>
      <c r="D195" s="546">
        <v>0</v>
      </c>
      <c r="E195" s="546">
        <v>0</v>
      </c>
      <c r="F195" s="546">
        <v>0</v>
      </c>
      <c r="G195" s="546">
        <v>0</v>
      </c>
      <c r="H195" s="546">
        <v>0</v>
      </c>
      <c r="I195" s="546">
        <v>1528082</v>
      </c>
      <c r="J195" s="546">
        <v>871</v>
      </c>
      <c r="K195" s="546">
        <v>581</v>
      </c>
      <c r="L195" s="546">
        <v>581</v>
      </c>
      <c r="M195" s="546">
        <v>0</v>
      </c>
      <c r="N195" s="546">
        <v>0</v>
      </c>
      <c r="O195" s="546">
        <v>0</v>
      </c>
      <c r="P195" s="546">
        <v>0</v>
      </c>
      <c r="Q195" s="546">
        <v>4016</v>
      </c>
      <c r="R195" s="546">
        <v>0</v>
      </c>
      <c r="S195" s="546">
        <v>0</v>
      </c>
      <c r="T195" s="546">
        <v>0</v>
      </c>
      <c r="U195" s="546">
        <v>0</v>
      </c>
      <c r="V195" s="546">
        <v>0</v>
      </c>
      <c r="W195" s="546">
        <v>0</v>
      </c>
      <c r="X195" s="546">
        <v>0</v>
      </c>
      <c r="Y195" s="546">
        <v>20000</v>
      </c>
      <c r="Z195" s="546">
        <v>0</v>
      </c>
    </row>
    <row r="196" spans="1:26" ht="13.8" x14ac:dyDescent="0.25">
      <c r="A196" s="545" t="s">
        <v>900</v>
      </c>
      <c r="B196" s="546">
        <v>1576131</v>
      </c>
      <c r="C196" s="546">
        <v>22000</v>
      </c>
      <c r="D196" s="546">
        <v>0</v>
      </c>
      <c r="E196" s="546">
        <v>0</v>
      </c>
      <c r="F196" s="546">
        <v>0</v>
      </c>
      <c r="G196" s="546">
        <v>0</v>
      </c>
      <c r="H196" s="546">
        <v>0</v>
      </c>
      <c r="I196" s="546">
        <v>1528082</v>
      </c>
      <c r="J196" s="546">
        <v>871</v>
      </c>
      <c r="K196" s="546">
        <v>581</v>
      </c>
      <c r="L196" s="546">
        <v>581</v>
      </c>
      <c r="M196" s="546">
        <v>0</v>
      </c>
      <c r="N196" s="546">
        <v>0</v>
      </c>
      <c r="O196" s="546">
        <v>0</v>
      </c>
      <c r="P196" s="546">
        <v>0</v>
      </c>
      <c r="Q196" s="546">
        <v>4016</v>
      </c>
      <c r="R196" s="546">
        <v>0</v>
      </c>
      <c r="S196" s="546">
        <v>0</v>
      </c>
      <c r="T196" s="546">
        <v>0</v>
      </c>
      <c r="U196" s="546">
        <v>0</v>
      </c>
      <c r="V196" s="546">
        <v>0</v>
      </c>
      <c r="W196" s="546">
        <v>0</v>
      </c>
      <c r="X196" s="546">
        <v>0</v>
      </c>
      <c r="Y196" s="546">
        <v>20000</v>
      </c>
      <c r="Z196" s="546">
        <v>0</v>
      </c>
    </row>
    <row r="197" spans="1:26" ht="27.6" x14ac:dyDescent="0.25">
      <c r="A197" s="545" t="s">
        <v>942</v>
      </c>
      <c r="B197" s="546">
        <v>21057350</v>
      </c>
      <c r="C197" s="546">
        <v>0</v>
      </c>
      <c r="D197" s="546">
        <v>0</v>
      </c>
      <c r="E197" s="546">
        <v>0</v>
      </c>
      <c r="F197" s="546">
        <v>0</v>
      </c>
      <c r="G197" s="546">
        <v>0</v>
      </c>
      <c r="H197" s="546">
        <v>120140</v>
      </c>
      <c r="I197" s="546">
        <v>4684340</v>
      </c>
      <c r="J197" s="546">
        <v>3036814</v>
      </c>
      <c r="K197" s="546">
        <v>2058882</v>
      </c>
      <c r="L197" s="546">
        <v>2010426</v>
      </c>
      <c r="M197" s="546">
        <v>82803</v>
      </c>
      <c r="N197" s="546">
        <v>10003</v>
      </c>
      <c r="O197" s="546">
        <v>1455710</v>
      </c>
      <c r="P197" s="546">
        <v>3596000</v>
      </c>
      <c r="Q197" s="546">
        <v>2584100</v>
      </c>
      <c r="R197" s="546">
        <v>508382</v>
      </c>
      <c r="S197" s="546">
        <v>251900</v>
      </c>
      <c r="T197" s="546">
        <v>418700</v>
      </c>
      <c r="U197" s="546">
        <v>3400</v>
      </c>
      <c r="V197" s="546">
        <v>911</v>
      </c>
      <c r="W197" s="546">
        <v>74647</v>
      </c>
      <c r="X197" s="546">
        <v>158492</v>
      </c>
      <c r="Y197" s="546">
        <v>1700</v>
      </c>
      <c r="Z197" s="546">
        <v>0</v>
      </c>
    </row>
    <row r="198" spans="1:26" ht="13.8" x14ac:dyDescent="0.25">
      <c r="A198" s="545" t="s">
        <v>901</v>
      </c>
      <c r="B198" s="546">
        <v>27061285</v>
      </c>
      <c r="C198" s="546">
        <v>3510145</v>
      </c>
      <c r="D198" s="546">
        <v>0</v>
      </c>
      <c r="E198" s="546">
        <v>0</v>
      </c>
      <c r="F198" s="546">
        <v>0</v>
      </c>
      <c r="G198" s="546">
        <v>0</v>
      </c>
      <c r="H198" s="546">
        <v>406052</v>
      </c>
      <c r="I198" s="546">
        <v>4879129</v>
      </c>
      <c r="J198" s="546">
        <v>3793299</v>
      </c>
      <c r="K198" s="546">
        <v>1767478</v>
      </c>
      <c r="L198" s="546">
        <v>1726004</v>
      </c>
      <c r="M198" s="546">
        <v>640654</v>
      </c>
      <c r="N198" s="546">
        <v>519636</v>
      </c>
      <c r="O198" s="546">
        <v>471822</v>
      </c>
      <c r="P198" s="546">
        <v>971011</v>
      </c>
      <c r="Q198" s="546">
        <v>2302468</v>
      </c>
      <c r="R198" s="546">
        <v>610345</v>
      </c>
      <c r="S198" s="546">
        <v>210502</v>
      </c>
      <c r="T198" s="546">
        <v>250073</v>
      </c>
      <c r="U198" s="546">
        <v>241537</v>
      </c>
      <c r="V198" s="546">
        <v>0</v>
      </c>
      <c r="W198" s="546">
        <v>215075</v>
      </c>
      <c r="X198" s="546">
        <v>293108</v>
      </c>
      <c r="Y198" s="546">
        <v>4252947</v>
      </c>
      <c r="Z198" s="546">
        <v>0</v>
      </c>
    </row>
    <row r="199" spans="1:26" ht="13.8" x14ac:dyDescent="0.25">
      <c r="A199" s="545" t="s">
        <v>943</v>
      </c>
      <c r="B199" s="546">
        <v>2005212</v>
      </c>
      <c r="C199" s="546">
        <v>0</v>
      </c>
      <c r="D199" s="546">
        <v>0</v>
      </c>
      <c r="E199" s="546">
        <v>0</v>
      </c>
      <c r="F199" s="546">
        <v>0</v>
      </c>
      <c r="G199" s="546">
        <v>0</v>
      </c>
      <c r="H199" s="546">
        <v>9955</v>
      </c>
      <c r="I199" s="546">
        <v>579069</v>
      </c>
      <c r="J199" s="546">
        <v>402532</v>
      </c>
      <c r="K199" s="546">
        <v>151355</v>
      </c>
      <c r="L199" s="546">
        <v>113007</v>
      </c>
      <c r="M199" s="546">
        <v>48299</v>
      </c>
      <c r="N199" s="546">
        <v>30678</v>
      </c>
      <c r="O199" s="546">
        <v>51822</v>
      </c>
      <c r="P199" s="546">
        <v>186782</v>
      </c>
      <c r="Q199" s="546">
        <v>115885</v>
      </c>
      <c r="R199" s="546">
        <v>17626</v>
      </c>
      <c r="S199" s="546">
        <v>0</v>
      </c>
      <c r="T199" s="546">
        <v>162584</v>
      </c>
      <c r="U199" s="546">
        <v>115709</v>
      </c>
      <c r="V199" s="546">
        <v>0</v>
      </c>
      <c r="W199" s="546">
        <v>9955</v>
      </c>
      <c r="X199" s="546">
        <v>9954</v>
      </c>
      <c r="Y199" s="546">
        <v>0</v>
      </c>
      <c r="Z199" s="546">
        <v>0</v>
      </c>
    </row>
    <row r="200" spans="1:26" ht="27.6" x14ac:dyDescent="0.25">
      <c r="A200" s="545" t="s">
        <v>902</v>
      </c>
      <c r="B200" s="546">
        <v>396672858</v>
      </c>
      <c r="C200" s="546">
        <v>3532145</v>
      </c>
      <c r="D200" s="546">
        <v>594596</v>
      </c>
      <c r="E200" s="546">
        <v>0</v>
      </c>
      <c r="F200" s="546">
        <v>0</v>
      </c>
      <c r="G200" s="546">
        <v>0</v>
      </c>
      <c r="H200" s="546">
        <v>7607930</v>
      </c>
      <c r="I200" s="546">
        <v>71657789</v>
      </c>
      <c r="J200" s="546">
        <v>56419390</v>
      </c>
      <c r="K200" s="546">
        <v>31451331</v>
      </c>
      <c r="L200" s="546">
        <v>31263485</v>
      </c>
      <c r="M200" s="546">
        <v>8637203</v>
      </c>
      <c r="N200" s="546">
        <v>13866916</v>
      </c>
      <c r="O200" s="546">
        <v>7959836</v>
      </c>
      <c r="P200" s="546">
        <v>5803254</v>
      </c>
      <c r="Q200" s="546">
        <v>6840073</v>
      </c>
      <c r="R200" s="546">
        <v>6407963</v>
      </c>
      <c r="S200" s="546">
        <v>2790424</v>
      </c>
      <c r="T200" s="546">
        <v>1562724</v>
      </c>
      <c r="U200" s="546">
        <v>2621344</v>
      </c>
      <c r="V200" s="546">
        <v>5266991</v>
      </c>
      <c r="W200" s="546">
        <v>124267570</v>
      </c>
      <c r="X200" s="546">
        <v>1003076</v>
      </c>
      <c r="Y200" s="546">
        <v>7118818</v>
      </c>
      <c r="Z200" s="546">
        <v>0</v>
      </c>
    </row>
    <row r="201" spans="1:26" ht="13.8" x14ac:dyDescent="0.25">
      <c r="A201" s="545" t="s">
        <v>944</v>
      </c>
      <c r="B201" s="546">
        <v>2540667</v>
      </c>
      <c r="C201" s="546">
        <v>0</v>
      </c>
      <c r="D201" s="546">
        <v>0</v>
      </c>
      <c r="E201" s="546">
        <v>0</v>
      </c>
      <c r="F201" s="546">
        <v>0</v>
      </c>
      <c r="G201" s="546">
        <v>0</v>
      </c>
      <c r="H201" s="546">
        <v>6067</v>
      </c>
      <c r="I201" s="546">
        <v>68922</v>
      </c>
      <c r="J201" s="546">
        <v>49742</v>
      </c>
      <c r="K201" s="546">
        <v>12225</v>
      </c>
      <c r="L201" s="546">
        <v>12212</v>
      </c>
      <c r="M201" s="546">
        <v>13584</v>
      </c>
      <c r="N201" s="546">
        <v>0</v>
      </c>
      <c r="O201" s="546">
        <v>11136</v>
      </c>
      <c r="P201" s="546">
        <v>895462</v>
      </c>
      <c r="Q201" s="546">
        <v>748404</v>
      </c>
      <c r="R201" s="546">
        <v>91971</v>
      </c>
      <c r="S201" s="546">
        <v>45241</v>
      </c>
      <c r="T201" s="546">
        <v>15081</v>
      </c>
      <c r="U201" s="546">
        <v>0</v>
      </c>
      <c r="V201" s="546">
        <v>0</v>
      </c>
      <c r="W201" s="546">
        <v>1487</v>
      </c>
      <c r="X201" s="546">
        <v>569133</v>
      </c>
      <c r="Y201" s="546">
        <v>0</v>
      </c>
      <c r="Z201" s="546">
        <v>0</v>
      </c>
    </row>
    <row r="202" spans="1:26" ht="13.8" x14ac:dyDescent="0.25">
      <c r="A202" s="545" t="s">
        <v>958</v>
      </c>
      <c r="B202" s="546">
        <v>99950</v>
      </c>
      <c r="C202" s="546">
        <v>0</v>
      </c>
      <c r="D202" s="546">
        <v>0</v>
      </c>
      <c r="E202" s="546">
        <v>0</v>
      </c>
      <c r="F202" s="546">
        <v>0</v>
      </c>
      <c r="G202" s="546">
        <v>0</v>
      </c>
      <c r="H202" s="546">
        <v>1999</v>
      </c>
      <c r="I202" s="546">
        <v>29985</v>
      </c>
      <c r="J202" s="546">
        <v>29985</v>
      </c>
      <c r="K202" s="546">
        <v>14992</v>
      </c>
      <c r="L202" s="546">
        <v>14992</v>
      </c>
      <c r="M202" s="546">
        <v>1999</v>
      </c>
      <c r="N202" s="546">
        <v>0</v>
      </c>
      <c r="O202" s="546">
        <v>0</v>
      </c>
      <c r="P202" s="546">
        <v>0</v>
      </c>
      <c r="Q202" s="546">
        <v>0</v>
      </c>
      <c r="R202" s="546">
        <v>1999</v>
      </c>
      <c r="S202" s="546">
        <v>0</v>
      </c>
      <c r="T202" s="546">
        <v>0</v>
      </c>
      <c r="U202" s="546">
        <v>0</v>
      </c>
      <c r="V202" s="546">
        <v>0</v>
      </c>
      <c r="W202" s="546">
        <v>1999</v>
      </c>
      <c r="X202" s="546">
        <v>2000</v>
      </c>
      <c r="Y202" s="546">
        <v>0</v>
      </c>
      <c r="Z202" s="546">
        <v>0</v>
      </c>
    </row>
    <row r="203" spans="1:26" ht="27.6" x14ac:dyDescent="0.25">
      <c r="A203" s="545" t="s">
        <v>945</v>
      </c>
      <c r="B203" s="546">
        <v>2640617</v>
      </c>
      <c r="C203" s="546">
        <v>0</v>
      </c>
      <c r="D203" s="546">
        <v>0</v>
      </c>
      <c r="E203" s="546">
        <v>0</v>
      </c>
      <c r="F203" s="546">
        <v>0</v>
      </c>
      <c r="G203" s="546">
        <v>0</v>
      </c>
      <c r="H203" s="546">
        <v>8066</v>
      </c>
      <c r="I203" s="546">
        <v>98907</v>
      </c>
      <c r="J203" s="546">
        <v>79727</v>
      </c>
      <c r="K203" s="546">
        <v>27217</v>
      </c>
      <c r="L203" s="546">
        <v>27204</v>
      </c>
      <c r="M203" s="546">
        <v>15583</v>
      </c>
      <c r="N203" s="546">
        <v>0</v>
      </c>
      <c r="O203" s="546">
        <v>11136</v>
      </c>
      <c r="P203" s="546">
        <v>895462</v>
      </c>
      <c r="Q203" s="546">
        <v>748404</v>
      </c>
      <c r="R203" s="546">
        <v>93970</v>
      </c>
      <c r="S203" s="546">
        <v>45241</v>
      </c>
      <c r="T203" s="546">
        <v>15081</v>
      </c>
      <c r="U203" s="546">
        <v>0</v>
      </c>
      <c r="V203" s="546">
        <v>0</v>
      </c>
      <c r="W203" s="546">
        <v>3486</v>
      </c>
      <c r="X203" s="546">
        <v>571133</v>
      </c>
      <c r="Y203" s="546">
        <v>0</v>
      </c>
      <c r="Z203" s="546">
        <v>0</v>
      </c>
    </row>
    <row r="204" spans="1:26" ht="27.6" x14ac:dyDescent="0.25">
      <c r="A204" s="545" t="s">
        <v>903</v>
      </c>
      <c r="B204" s="546">
        <v>109795550</v>
      </c>
      <c r="C204" s="546">
        <v>86015</v>
      </c>
      <c r="D204" s="546">
        <v>108031</v>
      </c>
      <c r="E204" s="546">
        <v>0</v>
      </c>
      <c r="F204" s="546">
        <v>0</v>
      </c>
      <c r="G204" s="546">
        <v>0</v>
      </c>
      <c r="H204" s="546">
        <v>2099196</v>
      </c>
      <c r="I204" s="546">
        <v>20957913</v>
      </c>
      <c r="J204" s="546">
        <v>16080843</v>
      </c>
      <c r="K204" s="546">
        <v>9058953</v>
      </c>
      <c r="L204" s="546">
        <v>8776416</v>
      </c>
      <c r="M204" s="546">
        <v>2553927</v>
      </c>
      <c r="N204" s="546">
        <v>4045810</v>
      </c>
      <c r="O204" s="546">
        <v>2096131</v>
      </c>
      <c r="P204" s="546">
        <v>1425976</v>
      </c>
      <c r="Q204" s="546">
        <v>1652120</v>
      </c>
      <c r="R204" s="546">
        <v>1873875</v>
      </c>
      <c r="S204" s="546">
        <v>821037</v>
      </c>
      <c r="T204" s="546">
        <v>452169</v>
      </c>
      <c r="U204" s="546">
        <v>871440</v>
      </c>
      <c r="V204" s="546">
        <v>1425574</v>
      </c>
      <c r="W204" s="546">
        <v>33555595</v>
      </c>
      <c r="X204" s="546">
        <v>558292</v>
      </c>
      <c r="Y204" s="546">
        <v>1296237</v>
      </c>
      <c r="Z204" s="546">
        <v>0</v>
      </c>
    </row>
    <row r="205" spans="1:26" ht="13.8" x14ac:dyDescent="0.25">
      <c r="A205" s="545" t="s">
        <v>904</v>
      </c>
      <c r="B205" s="546">
        <v>1303139</v>
      </c>
      <c r="C205" s="546">
        <v>219234</v>
      </c>
      <c r="D205" s="546">
        <v>0</v>
      </c>
      <c r="E205" s="546">
        <v>0</v>
      </c>
      <c r="F205" s="546">
        <v>0</v>
      </c>
      <c r="G205" s="546">
        <v>0</v>
      </c>
      <c r="H205" s="546">
        <v>0</v>
      </c>
      <c r="I205" s="546">
        <v>228868</v>
      </c>
      <c r="J205" s="546">
        <v>140689</v>
      </c>
      <c r="K205" s="546">
        <v>48000</v>
      </c>
      <c r="L205" s="546">
        <v>24000</v>
      </c>
      <c r="M205" s="546">
        <v>24000</v>
      </c>
      <c r="N205" s="546">
        <v>19200</v>
      </c>
      <c r="O205" s="546">
        <v>56334</v>
      </c>
      <c r="P205" s="546">
        <v>140835</v>
      </c>
      <c r="Q205" s="546">
        <v>97179</v>
      </c>
      <c r="R205" s="546">
        <v>4800</v>
      </c>
      <c r="S205" s="546">
        <v>0</v>
      </c>
      <c r="T205" s="546">
        <v>192000</v>
      </c>
      <c r="U205" s="546">
        <v>0</v>
      </c>
      <c r="V205" s="546">
        <v>0</v>
      </c>
      <c r="W205" s="546">
        <v>60000</v>
      </c>
      <c r="X205" s="546">
        <v>0</v>
      </c>
      <c r="Y205" s="546">
        <v>48000</v>
      </c>
      <c r="Z205" s="546">
        <v>0</v>
      </c>
    </row>
    <row r="206" spans="1:26" ht="27.6" x14ac:dyDescent="0.25">
      <c r="A206" s="545" t="s">
        <v>905</v>
      </c>
      <c r="B206" s="546">
        <v>111098689</v>
      </c>
      <c r="C206" s="546">
        <v>305249</v>
      </c>
      <c r="D206" s="546">
        <v>108031</v>
      </c>
      <c r="E206" s="546">
        <v>0</v>
      </c>
      <c r="F206" s="546">
        <v>0</v>
      </c>
      <c r="G206" s="546">
        <v>0</v>
      </c>
      <c r="H206" s="546">
        <v>2099196</v>
      </c>
      <c r="I206" s="546">
        <v>21186781</v>
      </c>
      <c r="J206" s="546">
        <v>16221532</v>
      </c>
      <c r="K206" s="546">
        <v>9106953</v>
      </c>
      <c r="L206" s="546">
        <v>8800416</v>
      </c>
      <c r="M206" s="546">
        <v>2577927</v>
      </c>
      <c r="N206" s="546">
        <v>4065010</v>
      </c>
      <c r="O206" s="546">
        <v>2152465</v>
      </c>
      <c r="P206" s="546">
        <v>1566811</v>
      </c>
      <c r="Q206" s="546">
        <v>1749299</v>
      </c>
      <c r="R206" s="546">
        <v>1878675</v>
      </c>
      <c r="S206" s="546">
        <v>821037</v>
      </c>
      <c r="T206" s="546">
        <v>644169</v>
      </c>
      <c r="U206" s="546">
        <v>871440</v>
      </c>
      <c r="V206" s="546">
        <v>1425574</v>
      </c>
      <c r="W206" s="546">
        <v>33615595</v>
      </c>
      <c r="X206" s="546">
        <v>558292</v>
      </c>
      <c r="Y206" s="546">
        <v>1344237</v>
      </c>
      <c r="Z206" s="546">
        <v>0</v>
      </c>
    </row>
    <row r="207" spans="1:26" ht="13.8" x14ac:dyDescent="0.25">
      <c r="A207" s="547" t="s">
        <v>906</v>
      </c>
      <c r="B207" s="548">
        <v>566884558</v>
      </c>
      <c r="C207" s="548">
        <v>3849394</v>
      </c>
      <c r="D207" s="548">
        <v>702627</v>
      </c>
      <c r="E207" s="548">
        <v>0</v>
      </c>
      <c r="F207" s="548">
        <v>0</v>
      </c>
      <c r="G207" s="548">
        <v>0</v>
      </c>
      <c r="H207" s="548">
        <v>10163309</v>
      </c>
      <c r="I207" s="548">
        <v>108375136</v>
      </c>
      <c r="J207" s="548">
        <v>82270448</v>
      </c>
      <c r="K207" s="548">
        <v>46783101</v>
      </c>
      <c r="L207" s="548">
        <v>45123130</v>
      </c>
      <c r="M207" s="548">
        <v>13135309</v>
      </c>
      <c r="N207" s="548">
        <v>19547488</v>
      </c>
      <c r="O207" s="548">
        <v>11903522</v>
      </c>
      <c r="P207" s="548">
        <v>12880587</v>
      </c>
      <c r="Q207" s="548">
        <v>12665973</v>
      </c>
      <c r="R207" s="548">
        <v>10072574</v>
      </c>
      <c r="S207" s="548">
        <v>4413393</v>
      </c>
      <c r="T207" s="548">
        <v>3007262</v>
      </c>
      <c r="U207" s="548">
        <v>4322515</v>
      </c>
      <c r="V207" s="548">
        <v>6715457</v>
      </c>
      <c r="W207" s="548">
        <v>158727604</v>
      </c>
      <c r="X207" s="548">
        <v>3605324</v>
      </c>
      <c r="Y207" s="548">
        <v>8620405</v>
      </c>
      <c r="Z207" s="548">
        <v>0</v>
      </c>
    </row>
    <row r="208" spans="1:26" ht="27.6" x14ac:dyDescent="0.25">
      <c r="A208" s="545" t="s">
        <v>946</v>
      </c>
      <c r="B208" s="546">
        <v>1187195</v>
      </c>
      <c r="C208" s="546">
        <v>0</v>
      </c>
      <c r="D208" s="546">
        <v>0</v>
      </c>
      <c r="E208" s="546">
        <v>0</v>
      </c>
      <c r="F208" s="546">
        <v>0</v>
      </c>
      <c r="G208" s="546">
        <v>0</v>
      </c>
      <c r="H208" s="546">
        <v>88640</v>
      </c>
      <c r="I208" s="546">
        <v>215454</v>
      </c>
      <c r="J208" s="546">
        <v>129186</v>
      </c>
      <c r="K208" s="546">
        <v>133165</v>
      </c>
      <c r="L208" s="546">
        <v>130115</v>
      </c>
      <c r="M208" s="546">
        <v>0</v>
      </c>
      <c r="N208" s="546">
        <v>0</v>
      </c>
      <c r="O208" s="546">
        <v>206235</v>
      </c>
      <c r="P208" s="546">
        <v>0</v>
      </c>
      <c r="Q208" s="546">
        <v>0</v>
      </c>
      <c r="R208" s="546">
        <v>284400</v>
      </c>
      <c r="S208" s="546">
        <v>0</v>
      </c>
      <c r="T208" s="546">
        <v>0</v>
      </c>
      <c r="U208" s="546">
        <v>0</v>
      </c>
      <c r="V208" s="546">
        <v>0</v>
      </c>
      <c r="W208" s="546">
        <v>0</v>
      </c>
      <c r="X208" s="546">
        <v>0</v>
      </c>
      <c r="Y208" s="546">
        <v>0</v>
      </c>
      <c r="Z208" s="546">
        <v>0</v>
      </c>
    </row>
    <row r="209" spans="1:26" ht="27.6" x14ac:dyDescent="0.25">
      <c r="A209" s="547" t="s">
        <v>947</v>
      </c>
      <c r="B209" s="548">
        <v>1187195</v>
      </c>
      <c r="C209" s="548">
        <v>0</v>
      </c>
      <c r="D209" s="548">
        <v>0</v>
      </c>
      <c r="E209" s="548">
        <v>0</v>
      </c>
      <c r="F209" s="548">
        <v>0</v>
      </c>
      <c r="G209" s="548">
        <v>0</v>
      </c>
      <c r="H209" s="548">
        <v>88640</v>
      </c>
      <c r="I209" s="548">
        <v>215454</v>
      </c>
      <c r="J209" s="548">
        <v>129186</v>
      </c>
      <c r="K209" s="548">
        <v>133165</v>
      </c>
      <c r="L209" s="548">
        <v>130115</v>
      </c>
      <c r="M209" s="548">
        <v>0</v>
      </c>
      <c r="N209" s="548">
        <v>0</v>
      </c>
      <c r="O209" s="548">
        <v>206235</v>
      </c>
      <c r="P209" s="548">
        <v>0</v>
      </c>
      <c r="Q209" s="548">
        <v>0</v>
      </c>
      <c r="R209" s="548">
        <v>284400</v>
      </c>
      <c r="S209" s="548">
        <v>0</v>
      </c>
      <c r="T209" s="548">
        <v>0</v>
      </c>
      <c r="U209" s="548">
        <v>0</v>
      </c>
      <c r="V209" s="548">
        <v>0</v>
      </c>
      <c r="W209" s="548">
        <v>0</v>
      </c>
      <c r="X209" s="548">
        <v>0</v>
      </c>
      <c r="Y209" s="548">
        <v>0</v>
      </c>
      <c r="Z209" s="548">
        <v>0</v>
      </c>
    </row>
    <row r="210" spans="1:26" ht="27.6" x14ac:dyDescent="0.25">
      <c r="A210" s="545" t="s">
        <v>907</v>
      </c>
      <c r="B210" s="546">
        <v>19153200</v>
      </c>
      <c r="C210" s="546">
        <v>0</v>
      </c>
      <c r="D210" s="546">
        <v>0</v>
      </c>
      <c r="E210" s="546">
        <v>19153200</v>
      </c>
      <c r="F210" s="546">
        <v>0</v>
      </c>
      <c r="G210" s="546">
        <v>0</v>
      </c>
      <c r="H210" s="546">
        <v>0</v>
      </c>
      <c r="I210" s="546">
        <v>0</v>
      </c>
      <c r="J210" s="546">
        <v>0</v>
      </c>
      <c r="K210" s="546">
        <v>0</v>
      </c>
      <c r="L210" s="546">
        <v>0</v>
      </c>
      <c r="M210" s="546">
        <v>0</v>
      </c>
      <c r="N210" s="546">
        <v>0</v>
      </c>
      <c r="O210" s="546">
        <v>0</v>
      </c>
      <c r="P210" s="546">
        <v>0</v>
      </c>
      <c r="Q210" s="546">
        <v>0</v>
      </c>
      <c r="R210" s="546">
        <v>0</v>
      </c>
      <c r="S210" s="546">
        <v>0</v>
      </c>
      <c r="T210" s="546">
        <v>0</v>
      </c>
      <c r="U210" s="546">
        <v>0</v>
      </c>
      <c r="V210" s="546">
        <v>0</v>
      </c>
      <c r="W210" s="546">
        <v>0</v>
      </c>
      <c r="X210" s="546">
        <v>0</v>
      </c>
      <c r="Y210" s="546">
        <v>0</v>
      </c>
      <c r="Z210" s="546">
        <v>0</v>
      </c>
    </row>
    <row r="211" spans="1:26" ht="27.6" x14ac:dyDescent="0.25">
      <c r="A211" s="545" t="s">
        <v>908</v>
      </c>
      <c r="B211" s="546">
        <v>7774362</v>
      </c>
      <c r="C211" s="546">
        <v>0</v>
      </c>
      <c r="D211" s="546">
        <v>0</v>
      </c>
      <c r="E211" s="546">
        <v>7774362</v>
      </c>
      <c r="F211" s="546">
        <v>0</v>
      </c>
      <c r="G211" s="546">
        <v>0</v>
      </c>
      <c r="H211" s="546">
        <v>0</v>
      </c>
      <c r="I211" s="546">
        <v>0</v>
      </c>
      <c r="J211" s="546">
        <v>0</v>
      </c>
      <c r="K211" s="546">
        <v>0</v>
      </c>
      <c r="L211" s="546">
        <v>0</v>
      </c>
      <c r="M211" s="546">
        <v>0</v>
      </c>
      <c r="N211" s="546">
        <v>0</v>
      </c>
      <c r="O211" s="546">
        <v>0</v>
      </c>
      <c r="P211" s="546">
        <v>0</v>
      </c>
      <c r="Q211" s="546">
        <v>0</v>
      </c>
      <c r="R211" s="546">
        <v>0</v>
      </c>
      <c r="S211" s="546">
        <v>0</v>
      </c>
      <c r="T211" s="546">
        <v>0</v>
      </c>
      <c r="U211" s="546">
        <v>0</v>
      </c>
      <c r="V211" s="546">
        <v>0</v>
      </c>
      <c r="W211" s="546">
        <v>0</v>
      </c>
      <c r="X211" s="546">
        <v>0</v>
      </c>
      <c r="Y211" s="546">
        <v>0</v>
      </c>
      <c r="Z211" s="546">
        <v>0</v>
      </c>
    </row>
    <row r="212" spans="1:26" ht="27.6" x14ac:dyDescent="0.25">
      <c r="A212" s="545" t="s">
        <v>909</v>
      </c>
      <c r="B212" s="546">
        <v>3600000</v>
      </c>
      <c r="C212" s="546">
        <v>0</v>
      </c>
      <c r="D212" s="546">
        <v>0</v>
      </c>
      <c r="E212" s="546">
        <v>3600000</v>
      </c>
      <c r="F212" s="546">
        <v>0</v>
      </c>
      <c r="G212" s="546">
        <v>0</v>
      </c>
      <c r="H212" s="546">
        <v>0</v>
      </c>
      <c r="I212" s="546">
        <v>0</v>
      </c>
      <c r="J212" s="546">
        <v>0</v>
      </c>
      <c r="K212" s="546">
        <v>0</v>
      </c>
      <c r="L212" s="546">
        <v>0</v>
      </c>
      <c r="M212" s="546">
        <v>0</v>
      </c>
      <c r="N212" s="546">
        <v>0</v>
      </c>
      <c r="O212" s="546">
        <v>0</v>
      </c>
      <c r="P212" s="546">
        <v>0</v>
      </c>
      <c r="Q212" s="546">
        <v>0</v>
      </c>
      <c r="R212" s="546">
        <v>0</v>
      </c>
      <c r="S212" s="546">
        <v>0</v>
      </c>
      <c r="T212" s="546">
        <v>0</v>
      </c>
      <c r="U212" s="546">
        <v>0</v>
      </c>
      <c r="V212" s="546">
        <v>0</v>
      </c>
      <c r="W212" s="546">
        <v>0</v>
      </c>
      <c r="X212" s="546">
        <v>0</v>
      </c>
      <c r="Y212" s="546">
        <v>0</v>
      </c>
      <c r="Z212" s="546">
        <v>0</v>
      </c>
    </row>
    <row r="213" spans="1:26" ht="13.8" x14ac:dyDescent="0.25">
      <c r="A213" s="545" t="s">
        <v>959</v>
      </c>
      <c r="B213" s="546">
        <v>7778838</v>
      </c>
      <c r="C213" s="546">
        <v>0</v>
      </c>
      <c r="D213" s="546">
        <v>0</v>
      </c>
      <c r="E213" s="546">
        <v>7778838</v>
      </c>
      <c r="F213" s="546">
        <v>0</v>
      </c>
      <c r="G213" s="546">
        <v>0</v>
      </c>
      <c r="H213" s="546">
        <v>0</v>
      </c>
      <c r="I213" s="546">
        <v>0</v>
      </c>
      <c r="J213" s="546">
        <v>0</v>
      </c>
      <c r="K213" s="546">
        <v>0</v>
      </c>
      <c r="L213" s="546">
        <v>0</v>
      </c>
      <c r="M213" s="546">
        <v>0</v>
      </c>
      <c r="N213" s="546">
        <v>0</v>
      </c>
      <c r="O213" s="546">
        <v>0</v>
      </c>
      <c r="P213" s="546">
        <v>0</v>
      </c>
      <c r="Q213" s="546">
        <v>0</v>
      </c>
      <c r="R213" s="546">
        <v>0</v>
      </c>
      <c r="S213" s="546">
        <v>0</v>
      </c>
      <c r="T213" s="546">
        <v>0</v>
      </c>
      <c r="U213" s="546">
        <v>0</v>
      </c>
      <c r="V213" s="546">
        <v>0</v>
      </c>
      <c r="W213" s="546">
        <v>0</v>
      </c>
      <c r="X213" s="546">
        <v>0</v>
      </c>
      <c r="Y213" s="546">
        <v>0</v>
      </c>
      <c r="Z213" s="546">
        <v>0</v>
      </c>
    </row>
    <row r="214" spans="1:26" ht="27.6" x14ac:dyDescent="0.25">
      <c r="A214" s="545" t="s">
        <v>910</v>
      </c>
      <c r="B214" s="546">
        <v>850000</v>
      </c>
      <c r="C214" s="546">
        <v>0</v>
      </c>
      <c r="D214" s="546">
        <v>0</v>
      </c>
      <c r="E214" s="546">
        <v>0</v>
      </c>
      <c r="F214" s="546">
        <v>0</v>
      </c>
      <c r="G214" s="546">
        <v>850000</v>
      </c>
      <c r="H214" s="546">
        <v>0</v>
      </c>
      <c r="I214" s="546">
        <v>0</v>
      </c>
      <c r="J214" s="546">
        <v>0</v>
      </c>
      <c r="K214" s="546">
        <v>0</v>
      </c>
      <c r="L214" s="546">
        <v>0</v>
      </c>
      <c r="M214" s="546">
        <v>0</v>
      </c>
      <c r="N214" s="546">
        <v>0</v>
      </c>
      <c r="O214" s="546">
        <v>0</v>
      </c>
      <c r="P214" s="546">
        <v>0</v>
      </c>
      <c r="Q214" s="546">
        <v>0</v>
      </c>
      <c r="R214" s="546">
        <v>0</v>
      </c>
      <c r="S214" s="546">
        <v>0</v>
      </c>
      <c r="T214" s="546">
        <v>0</v>
      </c>
      <c r="U214" s="546">
        <v>0</v>
      </c>
      <c r="V214" s="546">
        <v>0</v>
      </c>
      <c r="W214" s="546">
        <v>0</v>
      </c>
      <c r="X214" s="546">
        <v>0</v>
      </c>
      <c r="Y214" s="546">
        <v>0</v>
      </c>
      <c r="Z214" s="546">
        <v>0</v>
      </c>
    </row>
    <row r="215" spans="1:26" ht="13.8" x14ac:dyDescent="0.25">
      <c r="A215" s="545" t="s">
        <v>911</v>
      </c>
      <c r="B215" s="546">
        <v>850000</v>
      </c>
      <c r="C215" s="546">
        <v>0</v>
      </c>
      <c r="D215" s="546">
        <v>0</v>
      </c>
      <c r="E215" s="546">
        <v>0</v>
      </c>
      <c r="F215" s="546">
        <v>0</v>
      </c>
      <c r="G215" s="546">
        <v>850000</v>
      </c>
      <c r="H215" s="546">
        <v>0</v>
      </c>
      <c r="I215" s="546">
        <v>0</v>
      </c>
      <c r="J215" s="546">
        <v>0</v>
      </c>
      <c r="K215" s="546">
        <v>0</v>
      </c>
      <c r="L215" s="546">
        <v>0</v>
      </c>
      <c r="M215" s="546">
        <v>0</v>
      </c>
      <c r="N215" s="546">
        <v>0</v>
      </c>
      <c r="O215" s="546">
        <v>0</v>
      </c>
      <c r="P215" s="546">
        <v>0</v>
      </c>
      <c r="Q215" s="546">
        <v>0</v>
      </c>
      <c r="R215" s="546">
        <v>0</v>
      </c>
      <c r="S215" s="546">
        <v>0</v>
      </c>
      <c r="T215" s="546">
        <v>0</v>
      </c>
      <c r="U215" s="546">
        <v>0</v>
      </c>
      <c r="V215" s="546">
        <v>0</v>
      </c>
      <c r="W215" s="546">
        <v>0</v>
      </c>
      <c r="X215" s="546">
        <v>0</v>
      </c>
      <c r="Y215" s="546">
        <v>0</v>
      </c>
      <c r="Z215" s="546">
        <v>0</v>
      </c>
    </row>
    <row r="216" spans="1:26" ht="41.4" x14ac:dyDescent="0.25">
      <c r="A216" s="547" t="s">
        <v>912</v>
      </c>
      <c r="B216" s="548">
        <v>20003200</v>
      </c>
      <c r="C216" s="548">
        <v>0</v>
      </c>
      <c r="D216" s="548">
        <v>0</v>
      </c>
      <c r="E216" s="548">
        <v>19153200</v>
      </c>
      <c r="F216" s="548">
        <v>0</v>
      </c>
      <c r="G216" s="548">
        <v>850000</v>
      </c>
      <c r="H216" s="548">
        <v>0</v>
      </c>
      <c r="I216" s="548">
        <v>0</v>
      </c>
      <c r="J216" s="548">
        <v>0</v>
      </c>
      <c r="K216" s="548">
        <v>0</v>
      </c>
      <c r="L216" s="548">
        <v>0</v>
      </c>
      <c r="M216" s="548">
        <v>0</v>
      </c>
      <c r="N216" s="548">
        <v>0</v>
      </c>
      <c r="O216" s="548">
        <v>0</v>
      </c>
      <c r="P216" s="548">
        <v>0</v>
      </c>
      <c r="Q216" s="548">
        <v>0</v>
      </c>
      <c r="R216" s="548">
        <v>0</v>
      </c>
      <c r="S216" s="548">
        <v>0</v>
      </c>
      <c r="T216" s="548">
        <v>0</v>
      </c>
      <c r="U216" s="548">
        <v>0</v>
      </c>
      <c r="V216" s="548">
        <v>0</v>
      </c>
      <c r="W216" s="548">
        <v>0</v>
      </c>
      <c r="X216" s="548">
        <v>0</v>
      </c>
      <c r="Y216" s="548">
        <v>0</v>
      </c>
      <c r="Z216" s="548">
        <v>0</v>
      </c>
    </row>
    <row r="217" spans="1:26" ht="13.8" x14ac:dyDescent="0.25">
      <c r="A217" s="545" t="s">
        <v>948</v>
      </c>
      <c r="B217" s="546">
        <v>2252936</v>
      </c>
      <c r="C217" s="546">
        <v>0</v>
      </c>
      <c r="D217" s="546">
        <v>0</v>
      </c>
      <c r="E217" s="546">
        <v>0</v>
      </c>
      <c r="F217" s="546">
        <v>0</v>
      </c>
      <c r="G217" s="546">
        <v>0</v>
      </c>
      <c r="H217" s="546">
        <v>19562</v>
      </c>
      <c r="I217" s="546">
        <v>2023214</v>
      </c>
      <c r="J217" s="546">
        <v>0</v>
      </c>
      <c r="K217" s="546">
        <v>0</v>
      </c>
      <c r="L217" s="546">
        <v>0</v>
      </c>
      <c r="M217" s="546">
        <v>39047</v>
      </c>
      <c r="N217" s="546">
        <v>0</v>
      </c>
      <c r="O217" s="546">
        <v>0</v>
      </c>
      <c r="P217" s="546">
        <v>77800</v>
      </c>
      <c r="Q217" s="546">
        <v>39900</v>
      </c>
      <c r="R217" s="546">
        <v>0</v>
      </c>
      <c r="S217" s="546">
        <v>0</v>
      </c>
      <c r="T217" s="546">
        <v>0</v>
      </c>
      <c r="U217" s="546">
        <v>53413</v>
      </c>
      <c r="V217" s="546">
        <v>0</v>
      </c>
      <c r="W217" s="546">
        <v>0</v>
      </c>
      <c r="X217" s="546">
        <v>0</v>
      </c>
      <c r="Y217" s="546">
        <v>0</v>
      </c>
      <c r="Z217" s="546">
        <v>0</v>
      </c>
    </row>
    <row r="218" spans="1:26" ht="13.8" x14ac:dyDescent="0.25">
      <c r="A218" s="545" t="s">
        <v>949</v>
      </c>
      <c r="B218" s="546">
        <v>1905080</v>
      </c>
      <c r="C218" s="546">
        <v>0</v>
      </c>
      <c r="D218" s="546">
        <v>0</v>
      </c>
      <c r="E218" s="546">
        <v>0</v>
      </c>
      <c r="F218" s="546">
        <v>0</v>
      </c>
      <c r="G218" s="546">
        <v>0</v>
      </c>
      <c r="H218" s="546">
        <v>39720</v>
      </c>
      <c r="I218" s="546">
        <v>1090160</v>
      </c>
      <c r="J218" s="546">
        <v>0</v>
      </c>
      <c r="K218" s="546">
        <v>113816</v>
      </c>
      <c r="L218" s="546">
        <v>0</v>
      </c>
      <c r="M218" s="546">
        <v>129324</v>
      </c>
      <c r="N218" s="546">
        <v>0</v>
      </c>
      <c r="O218" s="546">
        <v>0</v>
      </c>
      <c r="P218" s="546">
        <v>0</v>
      </c>
      <c r="Q218" s="546">
        <v>251800</v>
      </c>
      <c r="R218" s="546">
        <v>0</v>
      </c>
      <c r="S218" s="546">
        <v>0</v>
      </c>
      <c r="T218" s="546">
        <v>0</v>
      </c>
      <c r="U218" s="546">
        <v>221880</v>
      </c>
      <c r="V218" s="546">
        <v>0</v>
      </c>
      <c r="W218" s="546">
        <v>0</v>
      </c>
      <c r="X218" s="546">
        <v>58380</v>
      </c>
      <c r="Y218" s="546">
        <v>0</v>
      </c>
      <c r="Z218" s="546">
        <v>0</v>
      </c>
    </row>
    <row r="219" spans="1:26" ht="13.8" x14ac:dyDescent="0.25">
      <c r="A219" s="545" t="s">
        <v>950</v>
      </c>
      <c r="B219" s="546">
        <v>9514557</v>
      </c>
      <c r="C219" s="546">
        <v>0</v>
      </c>
      <c r="D219" s="546">
        <v>0</v>
      </c>
      <c r="E219" s="546">
        <v>0</v>
      </c>
      <c r="F219" s="546">
        <v>0</v>
      </c>
      <c r="G219" s="546">
        <v>0</v>
      </c>
      <c r="H219" s="546">
        <v>40109</v>
      </c>
      <c r="I219" s="546">
        <v>7539006</v>
      </c>
      <c r="J219" s="546">
        <v>0</v>
      </c>
      <c r="K219" s="546">
        <v>244570</v>
      </c>
      <c r="L219" s="546">
        <v>0</v>
      </c>
      <c r="M219" s="546">
        <v>171419</v>
      </c>
      <c r="N219" s="546">
        <v>0</v>
      </c>
      <c r="O219" s="546">
        <v>238481</v>
      </c>
      <c r="P219" s="546">
        <v>35188</v>
      </c>
      <c r="Q219" s="546">
        <v>647627</v>
      </c>
      <c r="R219" s="546">
        <v>419582</v>
      </c>
      <c r="S219" s="546">
        <v>0</v>
      </c>
      <c r="T219" s="546">
        <v>0</v>
      </c>
      <c r="U219" s="546">
        <v>59047</v>
      </c>
      <c r="V219" s="546">
        <v>0</v>
      </c>
      <c r="W219" s="546">
        <v>0</v>
      </c>
      <c r="X219" s="546">
        <v>119528</v>
      </c>
      <c r="Y219" s="546">
        <v>0</v>
      </c>
      <c r="Z219" s="546">
        <v>0</v>
      </c>
    </row>
    <row r="220" spans="1:26" ht="27.6" x14ac:dyDescent="0.25">
      <c r="A220" s="545" t="s">
        <v>951</v>
      </c>
      <c r="B220" s="546">
        <v>3575090</v>
      </c>
      <c r="C220" s="546">
        <v>0</v>
      </c>
      <c r="D220" s="546">
        <v>0</v>
      </c>
      <c r="E220" s="546">
        <v>0</v>
      </c>
      <c r="F220" s="546">
        <v>0</v>
      </c>
      <c r="G220" s="546">
        <v>0</v>
      </c>
      <c r="H220" s="546">
        <v>26836</v>
      </c>
      <c r="I220" s="546">
        <v>2774214</v>
      </c>
      <c r="J220" s="546">
        <v>0</v>
      </c>
      <c r="K220" s="546">
        <v>96765</v>
      </c>
      <c r="L220" s="546">
        <v>0</v>
      </c>
      <c r="M220" s="546">
        <v>91744</v>
      </c>
      <c r="N220" s="546">
        <v>0</v>
      </c>
      <c r="O220" s="546">
        <v>64390</v>
      </c>
      <c r="P220" s="546">
        <v>30506</v>
      </c>
      <c r="Q220" s="546">
        <v>239039</v>
      </c>
      <c r="R220" s="546">
        <v>113288</v>
      </c>
      <c r="S220" s="546">
        <v>0</v>
      </c>
      <c r="T220" s="546">
        <v>0</v>
      </c>
      <c r="U220" s="546">
        <v>90273</v>
      </c>
      <c r="V220" s="546">
        <v>0</v>
      </c>
      <c r="W220" s="546">
        <v>0</v>
      </c>
      <c r="X220" s="546">
        <v>48035</v>
      </c>
      <c r="Y220" s="546">
        <v>0</v>
      </c>
      <c r="Z220" s="546">
        <v>0</v>
      </c>
    </row>
    <row r="221" spans="1:26" ht="27.6" x14ac:dyDescent="0.25">
      <c r="A221" s="547" t="s">
        <v>952</v>
      </c>
      <c r="B221" s="548">
        <v>17247663</v>
      </c>
      <c r="C221" s="548">
        <v>0</v>
      </c>
      <c r="D221" s="548">
        <v>0</v>
      </c>
      <c r="E221" s="548">
        <v>0</v>
      </c>
      <c r="F221" s="548">
        <v>0</v>
      </c>
      <c r="G221" s="548">
        <v>0</v>
      </c>
      <c r="H221" s="548">
        <v>126227</v>
      </c>
      <c r="I221" s="548">
        <v>13426594</v>
      </c>
      <c r="J221" s="548">
        <v>0</v>
      </c>
      <c r="K221" s="548">
        <v>455151</v>
      </c>
      <c r="L221" s="548">
        <v>0</v>
      </c>
      <c r="M221" s="548">
        <v>431534</v>
      </c>
      <c r="N221" s="548">
        <v>0</v>
      </c>
      <c r="O221" s="548">
        <v>302871</v>
      </c>
      <c r="P221" s="548">
        <v>143494</v>
      </c>
      <c r="Q221" s="548">
        <v>1178366</v>
      </c>
      <c r="R221" s="548">
        <v>532870</v>
      </c>
      <c r="S221" s="548">
        <v>0</v>
      </c>
      <c r="T221" s="548">
        <v>0</v>
      </c>
      <c r="U221" s="548">
        <v>424613</v>
      </c>
      <c r="V221" s="548">
        <v>0</v>
      </c>
      <c r="W221" s="548">
        <v>0</v>
      </c>
      <c r="X221" s="548">
        <v>225943</v>
      </c>
      <c r="Y221" s="548">
        <v>0</v>
      </c>
      <c r="Z221" s="548">
        <v>0</v>
      </c>
    </row>
    <row r="222" spans="1:26" ht="13.8" x14ac:dyDescent="0.25">
      <c r="A222" s="545" t="s">
        <v>913</v>
      </c>
      <c r="B222" s="546">
        <v>24603704</v>
      </c>
      <c r="C222" s="546">
        <v>0</v>
      </c>
      <c r="D222" s="546">
        <v>24603704</v>
      </c>
      <c r="E222" s="546">
        <v>0</v>
      </c>
      <c r="F222" s="546">
        <v>0</v>
      </c>
      <c r="G222" s="546">
        <v>0</v>
      </c>
      <c r="H222" s="546">
        <v>0</v>
      </c>
      <c r="I222" s="546">
        <v>0</v>
      </c>
      <c r="J222" s="546">
        <v>0</v>
      </c>
      <c r="K222" s="546">
        <v>0</v>
      </c>
      <c r="L222" s="546">
        <v>0</v>
      </c>
      <c r="M222" s="546">
        <v>0</v>
      </c>
      <c r="N222" s="546">
        <v>0</v>
      </c>
      <c r="O222" s="546">
        <v>0</v>
      </c>
      <c r="P222" s="546">
        <v>0</v>
      </c>
      <c r="Q222" s="546">
        <v>0</v>
      </c>
      <c r="R222" s="546">
        <v>0</v>
      </c>
      <c r="S222" s="546">
        <v>0</v>
      </c>
      <c r="T222" s="546">
        <v>0</v>
      </c>
      <c r="U222" s="546">
        <v>0</v>
      </c>
      <c r="V222" s="546">
        <v>0</v>
      </c>
      <c r="W222" s="546">
        <v>0</v>
      </c>
      <c r="X222" s="546">
        <v>0</v>
      </c>
      <c r="Y222" s="546">
        <v>0</v>
      </c>
      <c r="Z222" s="546">
        <v>0</v>
      </c>
    </row>
    <row r="223" spans="1:26" ht="27.6" x14ac:dyDescent="0.25">
      <c r="A223" s="545" t="s">
        <v>914</v>
      </c>
      <c r="B223" s="546">
        <v>5419897</v>
      </c>
      <c r="C223" s="546">
        <v>0</v>
      </c>
      <c r="D223" s="546">
        <v>5419897</v>
      </c>
      <c r="E223" s="546">
        <v>0</v>
      </c>
      <c r="F223" s="546">
        <v>0</v>
      </c>
      <c r="G223" s="546">
        <v>0</v>
      </c>
      <c r="H223" s="546">
        <v>0</v>
      </c>
      <c r="I223" s="546">
        <v>0</v>
      </c>
      <c r="J223" s="546">
        <v>0</v>
      </c>
      <c r="K223" s="546">
        <v>0</v>
      </c>
      <c r="L223" s="546">
        <v>0</v>
      </c>
      <c r="M223" s="546">
        <v>0</v>
      </c>
      <c r="N223" s="546">
        <v>0</v>
      </c>
      <c r="O223" s="546">
        <v>0</v>
      </c>
      <c r="P223" s="546">
        <v>0</v>
      </c>
      <c r="Q223" s="546">
        <v>0</v>
      </c>
      <c r="R223" s="546">
        <v>0</v>
      </c>
      <c r="S223" s="546">
        <v>0</v>
      </c>
      <c r="T223" s="546">
        <v>0</v>
      </c>
      <c r="U223" s="546">
        <v>0</v>
      </c>
      <c r="V223" s="546">
        <v>0</v>
      </c>
      <c r="W223" s="546">
        <v>0</v>
      </c>
      <c r="X223" s="546">
        <v>0</v>
      </c>
      <c r="Y223" s="546">
        <v>0</v>
      </c>
      <c r="Z223" s="546">
        <v>0</v>
      </c>
    </row>
    <row r="224" spans="1:26" ht="13.8" x14ac:dyDescent="0.25">
      <c r="A224" s="547" t="s">
        <v>915</v>
      </c>
      <c r="B224" s="548">
        <v>30023601</v>
      </c>
      <c r="C224" s="548">
        <v>0</v>
      </c>
      <c r="D224" s="548">
        <v>30023601</v>
      </c>
      <c r="E224" s="548">
        <v>0</v>
      </c>
      <c r="F224" s="548">
        <v>0</v>
      </c>
      <c r="G224" s="548">
        <v>0</v>
      </c>
      <c r="H224" s="548">
        <v>0</v>
      </c>
      <c r="I224" s="548">
        <v>0</v>
      </c>
      <c r="J224" s="548">
        <v>0</v>
      </c>
      <c r="K224" s="548">
        <v>0</v>
      </c>
      <c r="L224" s="548">
        <v>0</v>
      </c>
      <c r="M224" s="548">
        <v>0</v>
      </c>
      <c r="N224" s="548">
        <v>0</v>
      </c>
      <c r="O224" s="548">
        <v>0</v>
      </c>
      <c r="P224" s="548">
        <v>0</v>
      </c>
      <c r="Q224" s="548">
        <v>0</v>
      </c>
      <c r="R224" s="548">
        <v>0</v>
      </c>
      <c r="S224" s="548">
        <v>0</v>
      </c>
      <c r="T224" s="548">
        <v>0</v>
      </c>
      <c r="U224" s="548">
        <v>0</v>
      </c>
      <c r="V224" s="548">
        <v>0</v>
      </c>
      <c r="W224" s="548">
        <v>0</v>
      </c>
      <c r="X224" s="548">
        <v>0</v>
      </c>
      <c r="Y224" s="548">
        <v>0</v>
      </c>
      <c r="Z224" s="548">
        <v>0</v>
      </c>
    </row>
    <row r="225" spans="1:26" ht="27.6" x14ac:dyDescent="0.25">
      <c r="A225" s="547" t="s">
        <v>916</v>
      </c>
      <c r="B225" s="548">
        <v>1998272069</v>
      </c>
      <c r="C225" s="548">
        <v>4617530</v>
      </c>
      <c r="D225" s="548">
        <v>30726228</v>
      </c>
      <c r="E225" s="548">
        <v>19153200</v>
      </c>
      <c r="F225" s="548">
        <v>364175</v>
      </c>
      <c r="G225" s="548">
        <v>850000</v>
      </c>
      <c r="H225" s="548">
        <v>43826368</v>
      </c>
      <c r="I225" s="548">
        <v>348198259</v>
      </c>
      <c r="J225" s="548">
        <v>227586256</v>
      </c>
      <c r="K225" s="548">
        <v>121213407</v>
      </c>
      <c r="L225" s="548">
        <v>115167043</v>
      </c>
      <c r="M225" s="548">
        <v>72383495</v>
      </c>
      <c r="N225" s="548">
        <v>49581909</v>
      </c>
      <c r="O225" s="548">
        <v>64458576</v>
      </c>
      <c r="P225" s="548">
        <v>181787846</v>
      </c>
      <c r="Q225" s="548">
        <v>207991075</v>
      </c>
      <c r="R225" s="548">
        <v>79372178</v>
      </c>
      <c r="S225" s="548">
        <v>28649294</v>
      </c>
      <c r="T225" s="548">
        <v>14677744</v>
      </c>
      <c r="U225" s="548">
        <v>27139379</v>
      </c>
      <c r="V225" s="548">
        <v>6805223</v>
      </c>
      <c r="W225" s="548">
        <v>170547417</v>
      </c>
      <c r="X225" s="548">
        <v>161638919</v>
      </c>
      <c r="Y225" s="548">
        <v>21536548</v>
      </c>
      <c r="Z225" s="548">
        <v>0</v>
      </c>
    </row>
    <row r="226" spans="1:26" ht="27.6" x14ac:dyDescent="0.25">
      <c r="A226" s="545" t="s">
        <v>917</v>
      </c>
      <c r="B226" s="546">
        <v>1506178551</v>
      </c>
      <c r="C226" s="546">
        <v>0</v>
      </c>
      <c r="D226" s="546">
        <v>0</v>
      </c>
      <c r="E226" s="546">
        <v>1506178551</v>
      </c>
      <c r="F226" s="546">
        <v>0</v>
      </c>
      <c r="G226" s="546">
        <v>0</v>
      </c>
      <c r="H226" s="546">
        <v>0</v>
      </c>
      <c r="I226" s="546">
        <v>0</v>
      </c>
      <c r="J226" s="546">
        <v>0</v>
      </c>
      <c r="K226" s="546">
        <v>0</v>
      </c>
      <c r="L226" s="546">
        <v>0</v>
      </c>
      <c r="M226" s="546">
        <v>0</v>
      </c>
      <c r="N226" s="546">
        <v>0</v>
      </c>
      <c r="O226" s="546">
        <v>0</v>
      </c>
      <c r="P226" s="546">
        <v>0</v>
      </c>
      <c r="Q226" s="546">
        <v>0</v>
      </c>
      <c r="R226" s="546">
        <v>0</v>
      </c>
      <c r="S226" s="546">
        <v>0</v>
      </c>
      <c r="T226" s="546">
        <v>0</v>
      </c>
      <c r="U226" s="546">
        <v>0</v>
      </c>
      <c r="V226" s="546">
        <v>0</v>
      </c>
      <c r="W226" s="546">
        <v>0</v>
      </c>
      <c r="X226" s="546">
        <v>0</v>
      </c>
      <c r="Y226" s="546">
        <v>0</v>
      </c>
      <c r="Z226" s="546">
        <v>0</v>
      </c>
    </row>
    <row r="227" spans="1:26" ht="27.6" x14ac:dyDescent="0.25">
      <c r="A227" s="545" t="s">
        <v>918</v>
      </c>
      <c r="B227" s="546">
        <v>1506178551</v>
      </c>
      <c r="C227" s="546">
        <v>0</v>
      </c>
      <c r="D227" s="546">
        <v>0</v>
      </c>
      <c r="E227" s="546">
        <v>1506178551</v>
      </c>
      <c r="F227" s="546">
        <v>0</v>
      </c>
      <c r="G227" s="546">
        <v>0</v>
      </c>
      <c r="H227" s="546">
        <v>0</v>
      </c>
      <c r="I227" s="546">
        <v>0</v>
      </c>
      <c r="J227" s="546">
        <v>0</v>
      </c>
      <c r="K227" s="546">
        <v>0</v>
      </c>
      <c r="L227" s="546">
        <v>0</v>
      </c>
      <c r="M227" s="546">
        <v>0</v>
      </c>
      <c r="N227" s="546">
        <v>0</v>
      </c>
      <c r="O227" s="546">
        <v>0</v>
      </c>
      <c r="P227" s="546">
        <v>0</v>
      </c>
      <c r="Q227" s="546">
        <v>0</v>
      </c>
      <c r="R227" s="546">
        <v>0</v>
      </c>
      <c r="S227" s="546">
        <v>0</v>
      </c>
      <c r="T227" s="546">
        <v>0</v>
      </c>
      <c r="U227" s="546">
        <v>0</v>
      </c>
      <c r="V227" s="546">
        <v>0</v>
      </c>
      <c r="W227" s="546">
        <v>0</v>
      </c>
      <c r="X227" s="546">
        <v>0</v>
      </c>
      <c r="Y227" s="546">
        <v>0</v>
      </c>
      <c r="Z227" s="546">
        <v>0</v>
      </c>
    </row>
    <row r="228" spans="1:26" ht="13.8" x14ac:dyDescent="0.25">
      <c r="A228" s="547" t="s">
        <v>919</v>
      </c>
      <c r="B228" s="548">
        <v>1506178551</v>
      </c>
      <c r="C228" s="548">
        <v>0</v>
      </c>
      <c r="D228" s="548">
        <v>0</v>
      </c>
      <c r="E228" s="548">
        <v>1506178551</v>
      </c>
      <c r="F228" s="548">
        <v>0</v>
      </c>
      <c r="G228" s="548">
        <v>0</v>
      </c>
      <c r="H228" s="548">
        <v>0</v>
      </c>
      <c r="I228" s="548">
        <v>0</v>
      </c>
      <c r="J228" s="548">
        <v>0</v>
      </c>
      <c r="K228" s="548">
        <v>0</v>
      </c>
      <c r="L228" s="548">
        <v>0</v>
      </c>
      <c r="M228" s="548">
        <v>0</v>
      </c>
      <c r="N228" s="548">
        <v>0</v>
      </c>
      <c r="O228" s="548">
        <v>0</v>
      </c>
      <c r="P228" s="548">
        <v>0</v>
      </c>
      <c r="Q228" s="548">
        <v>0</v>
      </c>
      <c r="R228" s="548">
        <v>0</v>
      </c>
      <c r="S228" s="548">
        <v>0</v>
      </c>
      <c r="T228" s="548">
        <v>0</v>
      </c>
      <c r="U228" s="548">
        <v>0</v>
      </c>
      <c r="V228" s="548">
        <v>0</v>
      </c>
      <c r="W228" s="548">
        <v>0</v>
      </c>
      <c r="X228" s="548">
        <v>0</v>
      </c>
      <c r="Y228" s="548">
        <v>0</v>
      </c>
      <c r="Z228" s="548">
        <v>0</v>
      </c>
    </row>
    <row r="229" spans="1:26" ht="13.8" x14ac:dyDescent="0.25">
      <c r="A229" s="550" t="s">
        <v>920</v>
      </c>
      <c r="B229" s="551">
        <v>3504450620</v>
      </c>
      <c r="C229" s="551">
        <v>4617530</v>
      </c>
      <c r="D229" s="551">
        <v>30726228</v>
      </c>
      <c r="E229" s="551">
        <v>1525331751</v>
      </c>
      <c r="F229" s="551">
        <v>364175</v>
      </c>
      <c r="G229" s="551">
        <v>850000</v>
      </c>
      <c r="H229" s="551">
        <v>43826368</v>
      </c>
      <c r="I229" s="551">
        <v>348198259</v>
      </c>
      <c r="J229" s="551">
        <v>227586256</v>
      </c>
      <c r="K229" s="551">
        <v>121213407</v>
      </c>
      <c r="L229" s="551">
        <v>115167043</v>
      </c>
      <c r="M229" s="551">
        <v>72383495</v>
      </c>
      <c r="N229" s="551">
        <v>49581909</v>
      </c>
      <c r="O229" s="551">
        <v>64458576</v>
      </c>
      <c r="P229" s="551">
        <v>181787846</v>
      </c>
      <c r="Q229" s="551">
        <v>207991075</v>
      </c>
      <c r="R229" s="551">
        <v>79372178</v>
      </c>
      <c r="S229" s="551">
        <v>28649294</v>
      </c>
      <c r="T229" s="551">
        <v>14677744</v>
      </c>
      <c r="U229" s="551">
        <v>27139379</v>
      </c>
      <c r="V229" s="551">
        <v>6805223</v>
      </c>
      <c r="W229" s="551">
        <v>170547417</v>
      </c>
      <c r="X229" s="551">
        <v>161638919</v>
      </c>
      <c r="Y229" s="551">
        <v>21536548</v>
      </c>
      <c r="Z229" s="551">
        <v>0</v>
      </c>
    </row>
    <row r="230" spans="1:26" ht="13.8" x14ac:dyDescent="0.25">
      <c r="A230" s="558" t="s">
        <v>953</v>
      </c>
      <c r="B230" s="559">
        <v>174</v>
      </c>
      <c r="C230" s="559">
        <v>0</v>
      </c>
      <c r="D230" s="559">
        <v>0</v>
      </c>
      <c r="E230" s="559">
        <v>0</v>
      </c>
      <c r="F230" s="559">
        <v>0</v>
      </c>
      <c r="G230" s="559">
        <v>0</v>
      </c>
      <c r="H230" s="559">
        <v>5</v>
      </c>
      <c r="I230" s="559">
        <v>28</v>
      </c>
      <c r="J230" s="559">
        <v>15</v>
      </c>
      <c r="K230" s="559">
        <v>15</v>
      </c>
      <c r="L230" s="559">
        <v>9</v>
      </c>
      <c r="M230" s="559">
        <v>8</v>
      </c>
      <c r="N230" s="559">
        <v>5</v>
      </c>
      <c r="O230" s="559">
        <v>8</v>
      </c>
      <c r="P230" s="559">
        <v>20</v>
      </c>
      <c r="Q230" s="559">
        <v>22</v>
      </c>
      <c r="R230" s="559">
        <v>9</v>
      </c>
      <c r="S230" s="559">
        <v>3</v>
      </c>
      <c r="T230" s="559">
        <v>2</v>
      </c>
      <c r="U230" s="559">
        <v>1</v>
      </c>
      <c r="V230" s="559">
        <v>0</v>
      </c>
      <c r="W230" s="559">
        <v>1</v>
      </c>
      <c r="X230" s="559">
        <v>22</v>
      </c>
      <c r="Y230" s="559">
        <v>1</v>
      </c>
      <c r="Z230" s="559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7881-26B1-415E-BC3A-B5AD04853389}">
  <dimension ref="A1:Y108"/>
  <sheetViews>
    <sheetView topLeftCell="A55" workbookViewId="0">
      <selection activeCell="K15" sqref="K15"/>
    </sheetView>
  </sheetViews>
  <sheetFormatPr defaultColWidth="9.109375" defaultRowHeight="15.6" x14ac:dyDescent="0.3"/>
  <cols>
    <col min="1" max="1" width="9.109375" style="349"/>
    <col min="2" max="2" width="19.44140625" style="349" customWidth="1"/>
    <col min="3" max="3" width="15.88671875" style="349" customWidth="1"/>
    <col min="4" max="4" width="24.88671875" style="349" customWidth="1"/>
    <col min="5" max="5" width="18.6640625" style="349" customWidth="1"/>
    <col min="6" max="6" width="20.33203125" style="349" customWidth="1"/>
    <col min="7" max="7" width="16.109375" style="349" customWidth="1"/>
    <col min="8" max="8" width="14.5546875" style="349" customWidth="1"/>
    <col min="9" max="9" width="18.77734375" style="349" bestFit="1" customWidth="1"/>
    <col min="10" max="10" width="14.88671875" style="349" bestFit="1" customWidth="1"/>
    <col min="11" max="11" width="15.88671875" style="349" bestFit="1" customWidth="1"/>
    <col min="12" max="12" width="14.77734375" style="349" bestFit="1" customWidth="1"/>
    <col min="13" max="13" width="14.6640625" style="349" customWidth="1"/>
    <col min="14" max="14" width="14.21875" style="349" bestFit="1" customWidth="1"/>
    <col min="15" max="16384" width="9.109375" style="349"/>
  </cols>
  <sheetData>
    <row r="1" spans="1:25" ht="33.75" customHeight="1" x14ac:dyDescent="0.3">
      <c r="A1" s="350"/>
      <c r="B1" s="834" t="s">
        <v>612</v>
      </c>
      <c r="C1" s="834"/>
      <c r="D1" s="834"/>
      <c r="E1" s="834"/>
      <c r="F1" s="834"/>
      <c r="G1" s="834"/>
      <c r="H1" s="834"/>
      <c r="I1" s="593"/>
      <c r="J1" s="369"/>
      <c r="K1" s="369"/>
      <c r="L1" s="369"/>
      <c r="M1" s="369"/>
      <c r="N1" s="566"/>
      <c r="O1" s="566"/>
      <c r="P1" s="566"/>
      <c r="Q1" s="566"/>
      <c r="R1" s="566"/>
      <c r="S1" s="566"/>
      <c r="T1" s="566"/>
      <c r="U1" s="566"/>
      <c r="V1" s="566"/>
      <c r="W1" s="566"/>
      <c r="X1" s="566"/>
      <c r="Y1" s="566"/>
    </row>
    <row r="2" spans="1:25" x14ac:dyDescent="0.3">
      <c r="A2" s="350"/>
      <c r="B2" s="350"/>
      <c r="C2" s="350"/>
      <c r="D2" s="350"/>
      <c r="E2" s="352"/>
      <c r="F2" s="353"/>
      <c r="G2" s="350"/>
      <c r="H2" s="350"/>
      <c r="I2" s="369"/>
      <c r="J2" s="833" t="s">
        <v>210</v>
      </c>
      <c r="K2" s="833"/>
      <c r="L2" s="369"/>
      <c r="M2" s="369"/>
      <c r="N2" s="566"/>
      <c r="O2" s="566"/>
      <c r="P2" s="566"/>
      <c r="Q2" s="566"/>
      <c r="R2" s="566"/>
      <c r="S2" s="566"/>
      <c r="T2" s="566"/>
      <c r="U2" s="566"/>
      <c r="V2" s="566"/>
      <c r="W2" s="566"/>
      <c r="X2" s="566"/>
      <c r="Y2" s="566"/>
    </row>
    <row r="3" spans="1:25" x14ac:dyDescent="0.3">
      <c r="A3" s="350"/>
      <c r="B3" s="350" t="s">
        <v>536</v>
      </c>
      <c r="C3" s="350"/>
      <c r="D3" s="350"/>
      <c r="E3" s="350"/>
      <c r="F3" s="350"/>
      <c r="G3" s="352">
        <f>'[3]2023 tagdíj (2)'!$G$4</f>
        <v>178687977</v>
      </c>
      <c r="H3" s="350"/>
      <c r="I3" s="369"/>
      <c r="J3" s="369"/>
      <c r="K3" s="369"/>
      <c r="L3" s="369"/>
      <c r="M3" s="369"/>
      <c r="N3" s="566"/>
      <c r="O3" s="566"/>
      <c r="P3" s="566"/>
      <c r="Q3" s="566"/>
      <c r="R3" s="566"/>
      <c r="S3" s="566"/>
      <c r="T3" s="566"/>
      <c r="U3" s="566"/>
      <c r="V3" s="566"/>
      <c r="W3" s="566"/>
      <c r="X3" s="566"/>
      <c r="Y3" s="566"/>
    </row>
    <row r="4" spans="1:25" ht="28.95" customHeight="1" x14ac:dyDescent="0.3">
      <c r="A4" s="350"/>
      <c r="B4" s="835" t="s">
        <v>594</v>
      </c>
      <c r="C4" s="835"/>
      <c r="D4" s="835"/>
      <c r="E4" s="835"/>
      <c r="F4" s="835"/>
      <c r="G4" s="352">
        <f>'[1]CSGYK 2024'!F118</f>
        <v>4824005</v>
      </c>
      <c r="H4" s="350"/>
      <c r="I4" s="355"/>
      <c r="J4" s="369"/>
      <c r="K4" s="369"/>
      <c r="L4" s="369"/>
      <c r="M4" s="369"/>
      <c r="N4" s="566"/>
      <c r="O4" s="566"/>
      <c r="P4" s="566"/>
      <c r="Q4" s="566"/>
      <c r="R4" s="566"/>
      <c r="S4" s="566"/>
      <c r="T4" s="566"/>
      <c r="U4" s="566"/>
      <c r="V4" s="566"/>
      <c r="W4" s="566"/>
      <c r="X4" s="566"/>
      <c r="Y4" s="566"/>
    </row>
    <row r="5" spans="1:25" ht="31.2" customHeight="1" x14ac:dyDescent="0.3">
      <c r="A5" s="350"/>
      <c r="B5" s="835" t="s">
        <v>595</v>
      </c>
      <c r="C5" s="835"/>
      <c r="D5" s="835"/>
      <c r="E5" s="835"/>
      <c r="F5" s="835"/>
      <c r="G5" s="682">
        <f>'[1]KESZI 2024'!G140</f>
        <v>37125600</v>
      </c>
      <c r="H5" s="355"/>
      <c r="I5" s="355"/>
      <c r="J5" s="355"/>
      <c r="K5" s="369"/>
      <c r="L5" s="594"/>
      <c r="M5" s="369"/>
      <c r="N5" s="566"/>
      <c r="O5" s="566"/>
      <c r="P5" s="566"/>
      <c r="Q5" s="566"/>
      <c r="R5" s="566"/>
      <c r="S5" s="566"/>
      <c r="T5" s="566"/>
      <c r="U5" s="566"/>
      <c r="V5" s="566"/>
      <c r="W5" s="566"/>
      <c r="X5" s="566"/>
      <c r="Y5" s="566"/>
    </row>
    <row r="6" spans="1:25" ht="31.2" customHeight="1" x14ac:dyDescent="0.3">
      <c r="A6" s="350"/>
      <c r="B6" s="835" t="s">
        <v>609</v>
      </c>
      <c r="C6" s="835"/>
      <c r="D6" s="835"/>
      <c r="E6" s="835"/>
      <c r="F6" s="835"/>
      <c r="G6" s="354">
        <f>[1]Társulás!$I$58</f>
        <v>84434939.663794652</v>
      </c>
      <c r="H6" s="355"/>
      <c r="I6" s="355"/>
      <c r="J6" s="355"/>
      <c r="K6" s="369"/>
      <c r="L6" s="355"/>
      <c r="M6" s="369"/>
      <c r="N6" s="566"/>
      <c r="O6" s="566"/>
      <c r="P6" s="566"/>
      <c r="Q6" s="566"/>
      <c r="R6" s="566"/>
      <c r="S6" s="566"/>
      <c r="T6" s="566"/>
      <c r="U6" s="566"/>
      <c r="V6" s="566"/>
      <c r="W6" s="566"/>
      <c r="X6" s="566"/>
      <c r="Y6" s="566"/>
    </row>
    <row r="7" spans="1:25" x14ac:dyDescent="0.3">
      <c r="A7" s="350"/>
      <c r="B7" s="350" t="s">
        <v>611</v>
      </c>
      <c r="C7" s="350"/>
      <c r="D7" s="350"/>
      <c r="E7" s="350"/>
      <c r="F7" s="350"/>
      <c r="G7" s="683">
        <f>SUM(G3:G6)</f>
        <v>305072521.66379464</v>
      </c>
      <c r="H7" s="357">
        <f>G4+G5</f>
        <v>41949605</v>
      </c>
      <c r="I7" s="355"/>
      <c r="J7" s="369"/>
      <c r="K7" s="369"/>
      <c r="L7" s="369"/>
      <c r="M7" s="369"/>
      <c r="N7" s="566"/>
      <c r="O7" s="566"/>
      <c r="P7" s="566"/>
      <c r="Q7" s="566"/>
      <c r="R7" s="566"/>
      <c r="S7" s="566"/>
      <c r="T7" s="566"/>
      <c r="U7" s="566"/>
      <c r="V7" s="566"/>
      <c r="W7" s="566"/>
      <c r="X7" s="566"/>
      <c r="Y7" s="566"/>
    </row>
    <row r="8" spans="1:25" ht="48" customHeight="1" x14ac:dyDescent="0.3">
      <c r="A8" s="350"/>
      <c r="B8" s="350"/>
      <c r="C8" s="350"/>
      <c r="D8" s="350"/>
      <c r="E8" s="350"/>
      <c r="F8" s="350"/>
      <c r="G8" s="350"/>
      <c r="H8" s="350"/>
      <c r="I8" s="369"/>
      <c r="J8" s="369"/>
      <c r="K8" s="369"/>
      <c r="L8" s="369"/>
      <c r="M8" s="369"/>
      <c r="N8" s="566"/>
      <c r="O8" s="566"/>
      <c r="P8" s="566"/>
      <c r="Q8" s="566"/>
      <c r="R8" s="566"/>
      <c r="S8" s="566"/>
      <c r="T8" s="566"/>
      <c r="U8" s="566"/>
      <c r="V8" s="566"/>
      <c r="W8" s="566"/>
      <c r="X8" s="566"/>
      <c r="Y8" s="566"/>
    </row>
    <row r="9" spans="1:25" x14ac:dyDescent="0.3">
      <c r="A9" s="350"/>
      <c r="B9" s="350"/>
      <c r="C9" s="350"/>
      <c r="D9" s="358" t="s">
        <v>337</v>
      </c>
      <c r="E9" s="350" t="s">
        <v>338</v>
      </c>
      <c r="F9" s="358"/>
      <c r="G9" s="350"/>
      <c r="H9" s="350"/>
      <c r="I9" s="369"/>
      <c r="J9" s="369"/>
      <c r="K9" s="369"/>
      <c r="L9" s="369"/>
      <c r="M9" s="369"/>
      <c r="N9" s="566"/>
      <c r="O9" s="566"/>
      <c r="P9" s="566"/>
      <c r="Q9" s="566"/>
      <c r="R9" s="566"/>
      <c r="S9" s="566"/>
      <c r="T9" s="566"/>
      <c r="U9" s="566"/>
      <c r="V9" s="566"/>
      <c r="W9" s="566"/>
      <c r="X9" s="566"/>
      <c r="Y9" s="566"/>
    </row>
    <row r="10" spans="1:25" ht="15.6" customHeight="1" x14ac:dyDescent="0.3">
      <c r="A10" s="359"/>
      <c r="B10" s="359"/>
      <c r="C10" s="359"/>
      <c r="D10" s="360"/>
      <c r="E10" s="836" t="s">
        <v>339</v>
      </c>
      <c r="F10" s="836" t="s">
        <v>557</v>
      </c>
      <c r="G10" s="350"/>
      <c r="H10" s="350"/>
      <c r="I10" s="369"/>
      <c r="J10" s="369"/>
      <c r="K10" s="369"/>
      <c r="L10" s="369"/>
      <c r="M10" s="369"/>
      <c r="N10" s="566"/>
      <c r="O10" s="566"/>
      <c r="P10" s="566"/>
      <c r="Q10" s="566"/>
      <c r="R10" s="566"/>
      <c r="S10" s="566"/>
      <c r="T10" s="566"/>
      <c r="U10" s="566"/>
      <c r="V10" s="566"/>
      <c r="W10" s="566"/>
      <c r="X10" s="566"/>
      <c r="Y10" s="566"/>
    </row>
    <row r="11" spans="1:25" ht="31.2" x14ac:dyDescent="0.3">
      <c r="A11" s="361" t="s">
        <v>181</v>
      </c>
      <c r="B11" s="561" t="s">
        <v>340</v>
      </c>
      <c r="C11" s="563" t="s">
        <v>596</v>
      </c>
      <c r="D11" s="363" t="s">
        <v>341</v>
      </c>
      <c r="E11" s="837"/>
      <c r="F11" s="837"/>
      <c r="G11" s="350"/>
      <c r="H11" s="350"/>
      <c r="I11" s="929" t="s">
        <v>1015</v>
      </c>
      <c r="J11" s="930"/>
      <c r="K11" s="930"/>
      <c r="L11" s="931"/>
      <c r="M11" s="566"/>
      <c r="N11" s="566"/>
      <c r="O11" s="566"/>
      <c r="P11" s="566"/>
      <c r="Q11" s="566"/>
      <c r="R11" s="566"/>
      <c r="S11" s="566"/>
      <c r="T11" s="566"/>
      <c r="U11" s="566"/>
      <c r="V11" s="566"/>
      <c r="W11" s="566"/>
    </row>
    <row r="12" spans="1:25" x14ac:dyDescent="0.3">
      <c r="A12" s="364" t="s">
        <v>342</v>
      </c>
      <c r="B12" s="364" t="s">
        <v>343</v>
      </c>
      <c r="C12" s="562">
        <v>31954</v>
      </c>
      <c r="D12" s="366">
        <f>1223*C12</f>
        <v>39079742</v>
      </c>
      <c r="E12" s="367">
        <f>270*C12</f>
        <v>8627580</v>
      </c>
      <c r="F12" s="367">
        <f>100*C12</f>
        <v>3195400</v>
      </c>
      <c r="G12" s="350"/>
      <c r="H12" s="350"/>
      <c r="I12" s="930"/>
      <c r="J12" s="932" t="s">
        <v>538</v>
      </c>
      <c r="K12" s="932" t="s">
        <v>1010</v>
      </c>
      <c r="L12" s="933" t="s">
        <v>38</v>
      </c>
      <c r="M12" s="566"/>
      <c r="N12" s="566"/>
      <c r="O12" s="566"/>
      <c r="P12" s="566"/>
      <c r="Q12" s="566"/>
      <c r="R12" s="566"/>
      <c r="S12" s="566"/>
      <c r="T12" s="566"/>
      <c r="U12" s="566"/>
      <c r="V12" s="566"/>
      <c r="W12" s="566"/>
    </row>
    <row r="13" spans="1:25" x14ac:dyDescent="0.3">
      <c r="A13" s="364" t="s">
        <v>0</v>
      </c>
      <c r="B13" s="364" t="s">
        <v>344</v>
      </c>
      <c r="C13" s="365">
        <v>2225</v>
      </c>
      <c r="D13" s="366">
        <f t="shared" ref="D13:D38" si="0">1223*C13</f>
        <v>2721175</v>
      </c>
      <c r="E13" s="367">
        <f t="shared" ref="E13:E38" si="1">270*C13</f>
        <v>600750</v>
      </c>
      <c r="F13" s="367">
        <f t="shared" ref="F13:F38" si="2">100*C13</f>
        <v>222500</v>
      </c>
      <c r="G13" s="350"/>
      <c r="H13" s="350"/>
      <c r="I13" s="929" t="s">
        <v>1009</v>
      </c>
      <c r="J13" s="934">
        <f>D40/201.5*143</f>
        <v>73133111.806451619</v>
      </c>
      <c r="K13" s="934">
        <f>D40/201.5*58.5</f>
        <v>29918091.193548389</v>
      </c>
      <c r="L13" s="935">
        <f>J13+K13</f>
        <v>103051203</v>
      </c>
      <c r="M13" s="566"/>
      <c r="N13" s="566"/>
      <c r="O13" s="566"/>
      <c r="P13" s="566"/>
      <c r="Q13" s="566"/>
      <c r="R13" s="566"/>
      <c r="S13" s="566"/>
      <c r="T13" s="566"/>
      <c r="U13" s="566"/>
      <c r="V13" s="566"/>
      <c r="W13" s="566"/>
    </row>
    <row r="14" spans="1:25" x14ac:dyDescent="0.3">
      <c r="A14" s="364" t="s">
        <v>2</v>
      </c>
      <c r="B14" s="364" t="s">
        <v>345</v>
      </c>
      <c r="C14" s="365">
        <v>1577</v>
      </c>
      <c r="D14" s="366">
        <f t="shared" si="0"/>
        <v>1928671</v>
      </c>
      <c r="E14" s="367">
        <f t="shared" si="1"/>
        <v>425790</v>
      </c>
      <c r="F14" s="367">
        <f t="shared" si="2"/>
        <v>157700</v>
      </c>
      <c r="G14" s="350"/>
      <c r="H14" s="350"/>
      <c r="I14" s="929" t="s">
        <v>1013</v>
      </c>
      <c r="J14" s="934">
        <v>37516528</v>
      </c>
      <c r="K14" s="934">
        <v>0</v>
      </c>
      <c r="L14" s="935">
        <f t="shared" ref="L14:L15" si="3">J14+K14</f>
        <v>37516528</v>
      </c>
      <c r="M14" s="566"/>
      <c r="N14" s="566"/>
      <c r="O14" s="566"/>
      <c r="P14" s="566"/>
      <c r="Q14" s="566"/>
      <c r="R14" s="566"/>
      <c r="S14" s="566"/>
      <c r="T14" s="566"/>
      <c r="U14" s="566"/>
      <c r="V14" s="566"/>
      <c r="W14" s="566"/>
    </row>
    <row r="15" spans="1:25" x14ac:dyDescent="0.3">
      <c r="A15" s="364" t="s">
        <v>234</v>
      </c>
      <c r="B15" s="364" t="s">
        <v>346</v>
      </c>
      <c r="C15" s="365">
        <v>2307</v>
      </c>
      <c r="D15" s="366">
        <f t="shared" si="0"/>
        <v>2821461</v>
      </c>
      <c r="E15" s="367">
        <f t="shared" si="1"/>
        <v>622890</v>
      </c>
      <c r="F15" s="367">
        <f t="shared" si="2"/>
        <v>230700</v>
      </c>
      <c r="G15" s="350"/>
      <c r="H15" s="350"/>
      <c r="I15" s="929" t="s">
        <v>1014</v>
      </c>
      <c r="J15" s="934">
        <f>F72/201.5*143</f>
        <v>30161347.860472705</v>
      </c>
      <c r="K15" s="934">
        <f>F72/201.5*58.5</f>
        <v>12338733.215647925</v>
      </c>
      <c r="L15" s="935">
        <f t="shared" si="3"/>
        <v>42500081.07612063</v>
      </c>
      <c r="M15" s="566"/>
      <c r="N15" s="566"/>
      <c r="O15" s="566"/>
      <c r="P15" s="566"/>
      <c r="Q15" s="566"/>
      <c r="R15" s="566"/>
      <c r="S15" s="566"/>
      <c r="T15" s="566"/>
      <c r="U15" s="566"/>
      <c r="V15" s="566"/>
      <c r="W15" s="566"/>
    </row>
    <row r="16" spans="1:25" x14ac:dyDescent="0.3">
      <c r="A16" s="364" t="s">
        <v>3</v>
      </c>
      <c r="B16" s="364" t="s">
        <v>347</v>
      </c>
      <c r="C16" s="365">
        <v>278</v>
      </c>
      <c r="D16" s="366">
        <f t="shared" si="0"/>
        <v>339994</v>
      </c>
      <c r="E16" s="367">
        <f t="shared" si="1"/>
        <v>75060</v>
      </c>
      <c r="F16" s="367">
        <f t="shared" si="2"/>
        <v>27800</v>
      </c>
      <c r="G16" s="350"/>
      <c r="H16" s="350"/>
      <c r="I16" s="930"/>
      <c r="J16" s="936">
        <f>SUM(J13:J15)</f>
        <v>140810987.66692433</v>
      </c>
      <c r="K16" s="936">
        <f>SUM(K13:K15)</f>
        <v>42256824.409196317</v>
      </c>
      <c r="L16" s="937">
        <f>SUM(L13:L15)</f>
        <v>183067812.07612062</v>
      </c>
      <c r="M16" s="566"/>
      <c r="N16" s="566"/>
      <c r="O16" s="566"/>
      <c r="P16" s="566"/>
      <c r="Q16" s="566"/>
      <c r="R16" s="566"/>
      <c r="S16" s="566"/>
      <c r="T16" s="566"/>
      <c r="U16" s="566"/>
      <c r="V16" s="566"/>
      <c r="W16" s="566"/>
    </row>
    <row r="17" spans="1:25" x14ac:dyDescent="0.3">
      <c r="A17" s="364" t="s">
        <v>4</v>
      </c>
      <c r="B17" s="364" t="s">
        <v>348</v>
      </c>
      <c r="C17" s="365">
        <v>1900</v>
      </c>
      <c r="D17" s="366">
        <f t="shared" si="0"/>
        <v>2323700</v>
      </c>
      <c r="E17" s="367">
        <f t="shared" si="1"/>
        <v>513000</v>
      </c>
      <c r="F17" s="367">
        <f t="shared" si="2"/>
        <v>190000</v>
      </c>
      <c r="G17" s="350"/>
      <c r="H17" s="350"/>
      <c r="I17" s="369"/>
      <c r="J17" s="369"/>
      <c r="K17" s="369"/>
      <c r="L17" s="566"/>
      <c r="M17" s="566"/>
      <c r="N17" s="566"/>
      <c r="O17" s="566"/>
      <c r="P17" s="566"/>
      <c r="Q17" s="566"/>
      <c r="R17" s="566"/>
      <c r="S17" s="566"/>
      <c r="T17" s="566"/>
      <c r="U17" s="566"/>
      <c r="V17" s="566"/>
      <c r="W17" s="566"/>
    </row>
    <row r="18" spans="1:25" x14ac:dyDescent="0.3">
      <c r="A18" s="364" t="s">
        <v>6</v>
      </c>
      <c r="B18" s="364" t="s">
        <v>349</v>
      </c>
      <c r="C18" s="365">
        <v>1663</v>
      </c>
      <c r="D18" s="366">
        <f t="shared" si="0"/>
        <v>2033849</v>
      </c>
      <c r="E18" s="367">
        <f t="shared" si="1"/>
        <v>449010</v>
      </c>
      <c r="F18" s="367">
        <f t="shared" si="2"/>
        <v>166300</v>
      </c>
      <c r="G18" s="350"/>
      <c r="H18" s="350"/>
      <c r="I18" s="369"/>
      <c r="J18" s="369"/>
      <c r="K18" s="369"/>
      <c r="L18" s="369"/>
      <c r="M18" s="369"/>
      <c r="N18" s="566"/>
      <c r="O18" s="566"/>
      <c r="P18" s="566"/>
      <c r="Q18" s="566"/>
      <c r="R18" s="566"/>
      <c r="S18" s="566"/>
      <c r="T18" s="566"/>
      <c r="U18" s="566"/>
      <c r="V18" s="566"/>
      <c r="W18" s="566"/>
      <c r="X18" s="566"/>
      <c r="Y18" s="566"/>
    </row>
    <row r="19" spans="1:25" x14ac:dyDescent="0.3">
      <c r="A19" s="364" t="s">
        <v>8</v>
      </c>
      <c r="B19" s="364" t="s">
        <v>350</v>
      </c>
      <c r="C19" s="365">
        <v>723</v>
      </c>
      <c r="D19" s="366">
        <f t="shared" si="0"/>
        <v>884229</v>
      </c>
      <c r="E19" s="367">
        <f t="shared" si="1"/>
        <v>195210</v>
      </c>
      <c r="F19" s="367">
        <f t="shared" si="2"/>
        <v>72300</v>
      </c>
      <c r="G19" s="350"/>
      <c r="H19" s="350"/>
      <c r="I19" s="369"/>
      <c r="J19" s="369"/>
      <c r="K19" s="369"/>
      <c r="L19" s="369"/>
      <c r="M19" s="369"/>
      <c r="N19" s="566"/>
      <c r="O19" s="566"/>
      <c r="P19" s="566"/>
      <c r="Q19" s="566"/>
      <c r="R19" s="566"/>
      <c r="S19" s="566"/>
      <c r="T19" s="566"/>
      <c r="U19" s="566"/>
      <c r="V19" s="566"/>
      <c r="W19" s="566"/>
      <c r="X19" s="566"/>
      <c r="Y19" s="566"/>
    </row>
    <row r="20" spans="1:25" x14ac:dyDescent="0.3">
      <c r="A20" s="364" t="s">
        <v>351</v>
      </c>
      <c r="B20" s="364" t="s">
        <v>352</v>
      </c>
      <c r="C20" s="365">
        <v>3341</v>
      </c>
      <c r="D20" s="366">
        <f t="shared" si="0"/>
        <v>4086043</v>
      </c>
      <c r="E20" s="367">
        <f t="shared" si="1"/>
        <v>902070</v>
      </c>
      <c r="F20" s="367">
        <f t="shared" si="2"/>
        <v>334100</v>
      </c>
      <c r="G20" s="350"/>
      <c r="H20" s="350"/>
      <c r="I20" s="369"/>
      <c r="J20" s="369"/>
      <c r="K20" s="369"/>
      <c r="L20" s="369"/>
      <c r="M20" s="369"/>
      <c r="N20" s="566"/>
      <c r="O20" s="566"/>
      <c r="P20" s="566"/>
      <c r="Q20" s="566"/>
      <c r="R20" s="566"/>
      <c r="S20" s="566"/>
      <c r="T20" s="566"/>
      <c r="U20" s="566"/>
      <c r="V20" s="566"/>
      <c r="W20" s="566"/>
      <c r="X20" s="566"/>
      <c r="Y20" s="566"/>
    </row>
    <row r="21" spans="1:25" x14ac:dyDescent="0.3">
      <c r="A21" s="364" t="s">
        <v>9</v>
      </c>
      <c r="B21" s="364" t="s">
        <v>353</v>
      </c>
      <c r="C21" s="365">
        <v>4036</v>
      </c>
      <c r="D21" s="366">
        <f t="shared" si="0"/>
        <v>4936028</v>
      </c>
      <c r="E21" s="367">
        <f t="shared" si="1"/>
        <v>1089720</v>
      </c>
      <c r="F21" s="367">
        <f t="shared" si="2"/>
        <v>403600</v>
      </c>
      <c r="G21" s="350"/>
      <c r="H21" s="350"/>
      <c r="I21" s="369"/>
      <c r="J21" s="369"/>
      <c r="K21" s="369"/>
      <c r="L21" s="369"/>
      <c r="M21" s="369"/>
      <c r="N21" s="566"/>
      <c r="O21" s="566"/>
      <c r="P21" s="566"/>
      <c r="Q21" s="566"/>
      <c r="R21" s="566"/>
      <c r="S21" s="566"/>
      <c r="T21" s="566"/>
      <c r="U21" s="566"/>
      <c r="V21" s="566"/>
      <c r="W21" s="566"/>
      <c r="X21" s="566"/>
      <c r="Y21" s="566"/>
    </row>
    <row r="22" spans="1:25" x14ac:dyDescent="0.3">
      <c r="A22" s="364" t="s">
        <v>10</v>
      </c>
      <c r="B22" s="364" t="s">
        <v>354</v>
      </c>
      <c r="C22" s="365">
        <v>1332</v>
      </c>
      <c r="D22" s="366">
        <f t="shared" si="0"/>
        <v>1629036</v>
      </c>
      <c r="E22" s="367">
        <f t="shared" si="1"/>
        <v>359640</v>
      </c>
      <c r="F22" s="367">
        <f t="shared" si="2"/>
        <v>133200</v>
      </c>
      <c r="G22" s="350"/>
      <c r="H22" s="350"/>
      <c r="I22" s="369"/>
      <c r="J22" s="369"/>
      <c r="K22" s="369"/>
      <c r="L22" s="369"/>
      <c r="M22" s="369"/>
      <c r="N22" s="566"/>
      <c r="O22" s="566"/>
      <c r="P22" s="566"/>
      <c r="Q22" s="566"/>
      <c r="R22" s="566"/>
      <c r="S22" s="566"/>
      <c r="T22" s="566"/>
      <c r="U22" s="566"/>
      <c r="V22" s="566"/>
      <c r="W22" s="566"/>
      <c r="X22" s="566"/>
      <c r="Y22" s="566"/>
    </row>
    <row r="23" spans="1:25" x14ac:dyDescent="0.3">
      <c r="A23" s="364" t="s">
        <v>12</v>
      </c>
      <c r="B23" s="364" t="s">
        <v>355</v>
      </c>
      <c r="C23" s="365">
        <v>6133</v>
      </c>
      <c r="D23" s="366">
        <f t="shared" si="0"/>
        <v>7500659</v>
      </c>
      <c r="E23" s="367">
        <f t="shared" si="1"/>
        <v>1655910</v>
      </c>
      <c r="F23" s="367">
        <f t="shared" si="2"/>
        <v>613300</v>
      </c>
      <c r="G23" s="350"/>
      <c r="H23" s="350"/>
      <c r="I23" s="369"/>
      <c r="J23" s="369"/>
      <c r="K23" s="369"/>
      <c r="L23" s="369"/>
      <c r="M23" s="369"/>
      <c r="N23" s="566"/>
      <c r="O23" s="566"/>
      <c r="P23" s="566"/>
      <c r="Q23" s="566"/>
      <c r="R23" s="566"/>
      <c r="S23" s="566"/>
      <c r="T23" s="566"/>
      <c r="U23" s="566"/>
      <c r="V23" s="566"/>
      <c r="W23" s="566"/>
      <c r="X23" s="566"/>
      <c r="Y23" s="566"/>
    </row>
    <row r="24" spans="1:25" x14ac:dyDescent="0.3">
      <c r="A24" s="364" t="s">
        <v>13</v>
      </c>
      <c r="B24" s="364" t="s">
        <v>356</v>
      </c>
      <c r="C24" s="365">
        <v>570</v>
      </c>
      <c r="D24" s="366">
        <f t="shared" si="0"/>
        <v>697110</v>
      </c>
      <c r="E24" s="367">
        <f t="shared" si="1"/>
        <v>153900</v>
      </c>
      <c r="F24" s="367">
        <f t="shared" si="2"/>
        <v>57000</v>
      </c>
      <c r="G24" s="350"/>
      <c r="H24" s="350"/>
      <c r="I24" s="369"/>
      <c r="J24" s="369"/>
      <c r="K24" s="369"/>
      <c r="L24" s="369"/>
      <c r="M24" s="369"/>
      <c r="N24" s="566"/>
      <c r="O24" s="566"/>
      <c r="P24" s="566"/>
      <c r="Q24" s="566"/>
      <c r="R24" s="566"/>
      <c r="S24" s="566"/>
      <c r="T24" s="566"/>
      <c r="U24" s="566"/>
      <c r="V24" s="566"/>
      <c r="W24" s="566"/>
      <c r="X24" s="566"/>
      <c r="Y24" s="566"/>
    </row>
    <row r="25" spans="1:25" x14ac:dyDescent="0.3">
      <c r="A25" s="364" t="s">
        <v>14</v>
      </c>
      <c r="B25" s="364" t="s">
        <v>357</v>
      </c>
      <c r="C25" s="365">
        <v>2378</v>
      </c>
      <c r="D25" s="366">
        <f t="shared" si="0"/>
        <v>2908294</v>
      </c>
      <c r="E25" s="367">
        <f t="shared" si="1"/>
        <v>642060</v>
      </c>
      <c r="F25" s="367">
        <f t="shared" si="2"/>
        <v>237800</v>
      </c>
      <c r="G25" s="350"/>
      <c r="H25" s="350"/>
      <c r="I25" s="369"/>
      <c r="J25" s="369"/>
      <c r="K25" s="369"/>
      <c r="L25" s="369"/>
      <c r="M25" s="369"/>
      <c r="N25" s="566"/>
      <c r="O25" s="566"/>
      <c r="P25" s="566"/>
      <c r="Q25" s="566"/>
      <c r="R25" s="566"/>
      <c r="S25" s="566"/>
      <c r="T25" s="566"/>
      <c r="U25" s="566"/>
      <c r="V25" s="566"/>
      <c r="W25" s="566"/>
      <c r="X25" s="566"/>
      <c r="Y25" s="566"/>
    </row>
    <row r="26" spans="1:25" x14ac:dyDescent="0.3">
      <c r="A26" s="364" t="s">
        <v>102</v>
      </c>
      <c r="B26" s="364" t="s">
        <v>358</v>
      </c>
      <c r="C26" s="365">
        <v>385</v>
      </c>
      <c r="D26" s="366">
        <f t="shared" si="0"/>
        <v>470855</v>
      </c>
      <c r="E26" s="367">
        <f t="shared" si="1"/>
        <v>103950</v>
      </c>
      <c r="F26" s="367">
        <f t="shared" si="2"/>
        <v>38500</v>
      </c>
      <c r="G26" s="350"/>
      <c r="H26" s="350"/>
      <c r="I26" s="369"/>
      <c r="J26" s="355"/>
      <c r="K26" s="369"/>
      <c r="L26" s="369"/>
      <c r="M26" s="369"/>
      <c r="N26" s="566"/>
      <c r="O26" s="566"/>
      <c r="P26" s="566"/>
      <c r="Q26" s="566"/>
      <c r="R26" s="566"/>
      <c r="S26" s="566"/>
      <c r="T26" s="566"/>
      <c r="U26" s="566"/>
      <c r="V26" s="566"/>
      <c r="W26" s="566"/>
      <c r="X26" s="566"/>
      <c r="Y26" s="566"/>
    </row>
    <row r="27" spans="1:25" x14ac:dyDescent="0.3">
      <c r="A27" s="364" t="s">
        <v>103</v>
      </c>
      <c r="B27" s="364" t="s">
        <v>359</v>
      </c>
      <c r="C27" s="365">
        <v>2429</v>
      </c>
      <c r="D27" s="366">
        <f t="shared" si="0"/>
        <v>2970667</v>
      </c>
      <c r="E27" s="367">
        <f t="shared" si="1"/>
        <v>655830</v>
      </c>
      <c r="F27" s="367">
        <f t="shared" si="2"/>
        <v>242900</v>
      </c>
      <c r="G27" s="350"/>
      <c r="H27" s="350"/>
      <c r="I27" s="369"/>
      <c r="J27" s="369"/>
      <c r="K27" s="369"/>
      <c r="L27" s="369"/>
      <c r="M27" s="369"/>
      <c r="N27" s="566"/>
      <c r="O27" s="566"/>
      <c r="P27" s="566"/>
      <c r="Q27" s="566"/>
      <c r="R27" s="566"/>
      <c r="S27" s="566"/>
      <c r="T27" s="566"/>
      <c r="U27" s="566"/>
      <c r="V27" s="566"/>
      <c r="W27" s="566"/>
      <c r="X27" s="566"/>
      <c r="Y27" s="566"/>
    </row>
    <row r="28" spans="1:25" x14ac:dyDescent="0.3">
      <c r="A28" s="364" t="s">
        <v>105</v>
      </c>
      <c r="B28" s="364" t="s">
        <v>360</v>
      </c>
      <c r="C28" s="365">
        <v>3346</v>
      </c>
      <c r="D28" s="366">
        <f t="shared" si="0"/>
        <v>4092158</v>
      </c>
      <c r="E28" s="367">
        <f t="shared" si="1"/>
        <v>903420</v>
      </c>
      <c r="F28" s="367">
        <f t="shared" si="2"/>
        <v>334600</v>
      </c>
      <c r="G28" s="350"/>
      <c r="H28" s="350"/>
      <c r="I28" s="369"/>
      <c r="J28" s="369"/>
      <c r="K28" s="369"/>
      <c r="L28" s="369"/>
      <c r="M28" s="369"/>
      <c r="N28" s="566"/>
      <c r="O28" s="566"/>
      <c r="P28" s="566"/>
      <c r="Q28" s="566"/>
      <c r="R28" s="566"/>
      <c r="S28" s="566"/>
      <c r="T28" s="566"/>
      <c r="U28" s="566"/>
      <c r="V28" s="566"/>
      <c r="W28" s="566"/>
      <c r="X28" s="566"/>
      <c r="Y28" s="566"/>
    </row>
    <row r="29" spans="1:25" x14ac:dyDescent="0.3">
      <c r="A29" s="364" t="s">
        <v>106</v>
      </c>
      <c r="B29" s="364" t="s">
        <v>361</v>
      </c>
      <c r="C29" s="365">
        <v>866</v>
      </c>
      <c r="D29" s="366">
        <f t="shared" si="0"/>
        <v>1059118</v>
      </c>
      <c r="E29" s="367">
        <f t="shared" si="1"/>
        <v>233820</v>
      </c>
      <c r="F29" s="367">
        <f t="shared" si="2"/>
        <v>86600</v>
      </c>
      <c r="G29" s="350"/>
      <c r="H29" s="350"/>
      <c r="I29" s="369"/>
      <c r="J29" s="369"/>
      <c r="K29" s="369"/>
      <c r="L29" s="369"/>
      <c r="M29" s="369"/>
      <c r="N29" s="566"/>
      <c r="O29" s="566"/>
      <c r="P29" s="566"/>
      <c r="Q29" s="566"/>
      <c r="R29" s="566"/>
      <c r="S29" s="566"/>
      <c r="T29" s="566"/>
      <c r="U29" s="566"/>
      <c r="V29" s="566"/>
      <c r="W29" s="566"/>
      <c r="X29" s="566"/>
      <c r="Y29" s="566"/>
    </row>
    <row r="30" spans="1:25" x14ac:dyDescent="0.3">
      <c r="A30" s="364" t="s">
        <v>107</v>
      </c>
      <c r="B30" s="364" t="s">
        <v>362</v>
      </c>
      <c r="C30" s="365">
        <v>2209</v>
      </c>
      <c r="D30" s="366">
        <f t="shared" si="0"/>
        <v>2701607</v>
      </c>
      <c r="E30" s="367">
        <f t="shared" si="1"/>
        <v>596430</v>
      </c>
      <c r="F30" s="367">
        <f t="shared" si="2"/>
        <v>220900</v>
      </c>
      <c r="G30" s="350"/>
      <c r="H30" s="350"/>
      <c r="I30" s="369"/>
      <c r="J30" s="369"/>
      <c r="K30" s="369"/>
      <c r="L30" s="369"/>
      <c r="M30" s="369"/>
      <c r="N30" s="566"/>
      <c r="O30" s="566"/>
      <c r="P30" s="566"/>
      <c r="Q30" s="566"/>
      <c r="R30" s="566"/>
      <c r="S30" s="566"/>
      <c r="T30" s="566"/>
      <c r="U30" s="566"/>
      <c r="V30" s="566"/>
      <c r="W30" s="566"/>
      <c r="X30" s="566"/>
      <c r="Y30" s="566"/>
    </row>
    <row r="31" spans="1:25" x14ac:dyDescent="0.3">
      <c r="A31" s="364" t="s">
        <v>108</v>
      </c>
      <c r="B31" s="364" t="s">
        <v>363</v>
      </c>
      <c r="C31" s="365">
        <v>660</v>
      </c>
      <c r="D31" s="366">
        <f t="shared" si="0"/>
        <v>807180</v>
      </c>
      <c r="E31" s="367">
        <f t="shared" si="1"/>
        <v>178200</v>
      </c>
      <c r="F31" s="367">
        <f t="shared" si="2"/>
        <v>66000</v>
      </c>
      <c r="G31" s="350"/>
      <c r="H31" s="350"/>
      <c r="I31" s="369"/>
      <c r="J31" s="369"/>
      <c r="K31" s="369"/>
      <c r="L31" s="369"/>
      <c r="M31" s="355"/>
      <c r="N31" s="566"/>
      <c r="O31" s="566"/>
      <c r="P31" s="566"/>
      <c r="Q31" s="566"/>
      <c r="R31" s="566"/>
      <c r="S31" s="566"/>
      <c r="T31" s="566"/>
      <c r="U31" s="566"/>
      <c r="V31" s="566"/>
      <c r="W31" s="566"/>
      <c r="X31" s="566"/>
      <c r="Y31" s="566"/>
    </row>
    <row r="32" spans="1:25" x14ac:dyDescent="0.3">
      <c r="A32" s="364" t="s">
        <v>109</v>
      </c>
      <c r="B32" s="364" t="s">
        <v>364</v>
      </c>
      <c r="C32" s="365">
        <v>2714</v>
      </c>
      <c r="D32" s="366">
        <f t="shared" si="0"/>
        <v>3319222</v>
      </c>
      <c r="E32" s="367">
        <f t="shared" si="1"/>
        <v>732780</v>
      </c>
      <c r="F32" s="367">
        <f t="shared" si="2"/>
        <v>271400</v>
      </c>
      <c r="G32" s="350"/>
      <c r="H32" s="350"/>
      <c r="I32" s="369"/>
      <c r="J32" s="369"/>
      <c r="K32" s="369"/>
      <c r="L32" s="369"/>
      <c r="M32" s="355"/>
      <c r="N32" s="566"/>
      <c r="O32" s="566"/>
      <c r="P32" s="566"/>
      <c r="Q32" s="566"/>
      <c r="R32" s="566"/>
      <c r="S32" s="566"/>
      <c r="T32" s="566"/>
      <c r="U32" s="566"/>
      <c r="V32" s="566"/>
      <c r="W32" s="566"/>
      <c r="X32" s="566"/>
      <c r="Y32" s="566"/>
    </row>
    <row r="33" spans="1:25" x14ac:dyDescent="0.3">
      <c r="A33" s="364" t="s">
        <v>111</v>
      </c>
      <c r="B33" s="364" t="s">
        <v>365</v>
      </c>
      <c r="C33" s="365">
        <v>1891</v>
      </c>
      <c r="D33" s="366">
        <f t="shared" si="0"/>
        <v>2312693</v>
      </c>
      <c r="E33" s="367">
        <f t="shared" si="1"/>
        <v>510570</v>
      </c>
      <c r="F33" s="367">
        <f t="shared" si="2"/>
        <v>189100</v>
      </c>
      <c r="G33" s="350"/>
      <c r="H33" s="350"/>
      <c r="I33" s="369"/>
      <c r="J33" s="369"/>
      <c r="K33" s="369"/>
      <c r="L33" s="369"/>
      <c r="M33" s="355"/>
      <c r="N33" s="566"/>
      <c r="O33" s="566"/>
      <c r="P33" s="566"/>
      <c r="Q33" s="566"/>
      <c r="R33" s="566"/>
      <c r="S33" s="566"/>
      <c r="T33" s="566"/>
      <c r="U33" s="566"/>
      <c r="V33" s="566"/>
      <c r="W33" s="566"/>
      <c r="X33" s="566"/>
      <c r="Y33" s="566"/>
    </row>
    <row r="34" spans="1:25" x14ac:dyDescent="0.3">
      <c r="A34" s="364" t="s">
        <v>112</v>
      </c>
      <c r="B34" s="364" t="s">
        <v>366</v>
      </c>
      <c r="C34" s="365">
        <v>426</v>
      </c>
      <c r="D34" s="366">
        <f t="shared" si="0"/>
        <v>520998</v>
      </c>
      <c r="E34" s="367">
        <f t="shared" si="1"/>
        <v>115020</v>
      </c>
      <c r="F34" s="367">
        <f t="shared" si="2"/>
        <v>42600</v>
      </c>
      <c r="G34" s="350"/>
      <c r="H34" s="350"/>
      <c r="I34" s="369"/>
      <c r="J34" s="369"/>
      <c r="K34" s="369"/>
      <c r="L34" s="355"/>
      <c r="M34" s="355"/>
      <c r="N34" s="566"/>
      <c r="O34" s="566"/>
      <c r="P34" s="566"/>
      <c r="Q34" s="566"/>
      <c r="R34" s="566"/>
      <c r="S34" s="566"/>
      <c r="T34" s="566"/>
      <c r="U34" s="566"/>
      <c r="V34" s="566"/>
      <c r="W34" s="566"/>
      <c r="X34" s="566"/>
      <c r="Y34" s="566"/>
    </row>
    <row r="35" spans="1:25" x14ac:dyDescent="0.3">
      <c r="A35" s="364" t="s">
        <v>235</v>
      </c>
      <c r="B35" s="364" t="s">
        <v>367</v>
      </c>
      <c r="C35" s="365">
        <v>662</v>
      </c>
      <c r="D35" s="366">
        <f t="shared" si="0"/>
        <v>809626</v>
      </c>
      <c r="E35" s="367">
        <f t="shared" si="1"/>
        <v>178740</v>
      </c>
      <c r="F35" s="367">
        <f t="shared" si="2"/>
        <v>66200</v>
      </c>
      <c r="G35" s="350"/>
      <c r="H35" s="350"/>
      <c r="I35" s="369"/>
      <c r="J35" s="369"/>
      <c r="K35" s="369"/>
      <c r="L35" s="595"/>
      <c r="M35" s="595"/>
      <c r="N35" s="566"/>
      <c r="O35" s="566"/>
      <c r="P35" s="566"/>
      <c r="Q35" s="566"/>
      <c r="R35" s="566"/>
      <c r="S35" s="566"/>
      <c r="T35" s="566"/>
      <c r="U35" s="566"/>
      <c r="V35" s="566"/>
      <c r="W35" s="566"/>
      <c r="X35" s="566"/>
      <c r="Y35" s="566"/>
    </row>
    <row r="36" spans="1:25" x14ac:dyDescent="0.3">
      <c r="A36" s="364" t="s">
        <v>368</v>
      </c>
      <c r="B36" s="364" t="s">
        <v>369</v>
      </c>
      <c r="C36" s="365">
        <v>6878</v>
      </c>
      <c r="D36" s="366">
        <f t="shared" si="0"/>
        <v>8411794</v>
      </c>
      <c r="E36" s="367">
        <f t="shared" si="1"/>
        <v>1857060</v>
      </c>
      <c r="F36" s="367">
        <f t="shared" si="2"/>
        <v>687800</v>
      </c>
      <c r="G36" s="350"/>
      <c r="H36" s="350"/>
      <c r="I36" s="369"/>
      <c r="J36" s="369"/>
      <c r="K36" s="369"/>
      <c r="L36" s="355"/>
      <c r="M36" s="369"/>
      <c r="N36" s="566"/>
      <c r="O36" s="566"/>
      <c r="P36" s="566"/>
      <c r="Q36" s="566"/>
      <c r="R36" s="566"/>
      <c r="S36" s="566"/>
      <c r="T36" s="566"/>
      <c r="U36" s="566"/>
      <c r="V36" s="566"/>
      <c r="W36" s="566"/>
      <c r="X36" s="566"/>
      <c r="Y36" s="566"/>
    </row>
    <row r="37" spans="1:25" x14ac:dyDescent="0.3">
      <c r="A37" s="364" t="s">
        <v>370</v>
      </c>
      <c r="B37" s="364" t="s">
        <v>371</v>
      </c>
      <c r="C37" s="365">
        <v>925</v>
      </c>
      <c r="D37" s="366">
        <f t="shared" si="0"/>
        <v>1131275</v>
      </c>
      <c r="E37" s="367">
        <f t="shared" si="1"/>
        <v>249750</v>
      </c>
      <c r="F37" s="367">
        <f t="shared" si="2"/>
        <v>92500</v>
      </c>
      <c r="G37" s="350"/>
      <c r="H37" s="350"/>
      <c r="I37" s="369"/>
      <c r="J37" s="369"/>
      <c r="K37" s="369"/>
      <c r="L37" s="369"/>
      <c r="M37" s="355"/>
      <c r="N37" s="566"/>
      <c r="O37" s="566"/>
      <c r="P37" s="566"/>
      <c r="Q37" s="566"/>
      <c r="R37" s="566"/>
      <c r="S37" s="566"/>
      <c r="T37" s="566"/>
      <c r="U37" s="566"/>
      <c r="V37" s="566"/>
      <c r="W37" s="566"/>
      <c r="X37" s="566"/>
      <c r="Y37" s="566"/>
    </row>
    <row r="38" spans="1:25" x14ac:dyDescent="0.3">
      <c r="A38" s="364" t="s">
        <v>372</v>
      </c>
      <c r="B38" s="364" t="s">
        <v>373</v>
      </c>
      <c r="C38" s="365">
        <v>453</v>
      </c>
      <c r="D38" s="366">
        <f t="shared" si="0"/>
        <v>554019</v>
      </c>
      <c r="E38" s="367">
        <f t="shared" si="1"/>
        <v>122310</v>
      </c>
      <c r="F38" s="367">
        <f t="shared" si="2"/>
        <v>45300</v>
      </c>
      <c r="G38" s="350"/>
      <c r="H38" s="350"/>
      <c r="I38" s="369"/>
      <c r="J38" s="369"/>
      <c r="K38" s="369"/>
      <c r="L38" s="369"/>
      <c r="M38" s="355"/>
      <c r="N38" s="566"/>
      <c r="O38" s="566"/>
      <c r="P38" s="566"/>
      <c r="Q38" s="566"/>
      <c r="R38" s="566"/>
      <c r="S38" s="566"/>
      <c r="T38" s="566"/>
      <c r="U38" s="566"/>
      <c r="V38" s="566"/>
      <c r="W38" s="566"/>
      <c r="X38" s="566"/>
      <c r="Y38" s="566"/>
    </row>
    <row r="39" spans="1:25" x14ac:dyDescent="0.3">
      <c r="A39" s="350"/>
      <c r="B39" s="350"/>
      <c r="C39" s="370">
        <f>SUM(C12:C38)</f>
        <v>84261</v>
      </c>
      <c r="D39" s="371"/>
      <c r="E39" s="372"/>
      <c r="F39" s="373"/>
      <c r="G39" s="350"/>
      <c r="H39" s="350"/>
      <c r="I39" s="369"/>
      <c r="J39" s="369"/>
      <c r="K39" s="369"/>
      <c r="L39" s="369"/>
      <c r="M39" s="355"/>
      <c r="N39" s="566"/>
      <c r="O39" s="566"/>
      <c r="P39" s="566"/>
      <c r="Q39" s="566"/>
      <c r="R39" s="566"/>
      <c r="S39" s="566"/>
      <c r="T39" s="566"/>
      <c r="U39" s="566"/>
      <c r="V39" s="566"/>
      <c r="W39" s="566"/>
      <c r="X39" s="566"/>
      <c r="Y39" s="566"/>
    </row>
    <row r="40" spans="1:25" ht="15.75" customHeight="1" x14ac:dyDescent="0.3">
      <c r="A40" s="350"/>
      <c r="B40" s="350"/>
      <c r="C40" s="371" t="s">
        <v>38</v>
      </c>
      <c r="D40" s="592">
        <f>SUM(D12:D38)</f>
        <v>103051203</v>
      </c>
      <c r="E40" s="592">
        <f>SUM(E12:E38)</f>
        <v>22750470</v>
      </c>
      <c r="F40" s="592">
        <f>SUM(F12:F39)</f>
        <v>8426100</v>
      </c>
      <c r="G40" s="350"/>
      <c r="H40" s="350"/>
      <c r="I40" s="369"/>
      <c r="J40" s="369"/>
      <c r="K40" s="369"/>
      <c r="L40" s="596"/>
      <c r="M40" s="595"/>
      <c r="N40" s="566"/>
      <c r="O40" s="566"/>
      <c r="P40" s="566"/>
      <c r="Q40" s="566"/>
      <c r="R40" s="566"/>
      <c r="S40" s="566"/>
      <c r="T40" s="566"/>
      <c r="U40" s="566"/>
      <c r="V40" s="566"/>
      <c r="W40" s="566"/>
      <c r="X40" s="566"/>
      <c r="Y40" s="566"/>
    </row>
    <row r="41" spans="1:25" x14ac:dyDescent="0.3">
      <c r="A41" s="350"/>
      <c r="B41" s="350"/>
      <c r="C41" s="350"/>
      <c r="D41" s="350"/>
      <c r="E41" s="350"/>
      <c r="F41" s="352"/>
      <c r="G41" s="350"/>
      <c r="H41" s="350"/>
      <c r="I41" s="369"/>
      <c r="J41" s="369"/>
      <c r="K41" s="369"/>
      <c r="L41" s="369"/>
      <c r="M41" s="369"/>
      <c r="N41" s="566"/>
      <c r="O41" s="566"/>
      <c r="P41" s="566"/>
      <c r="Q41" s="566"/>
      <c r="R41" s="566"/>
      <c r="S41" s="566"/>
      <c r="T41" s="566"/>
      <c r="U41" s="566"/>
      <c r="V41" s="566"/>
      <c r="W41" s="566"/>
      <c r="X41" s="566"/>
      <c r="Y41" s="566"/>
    </row>
    <row r="42" spans="1:25" x14ac:dyDescent="0.3">
      <c r="A42" s="350"/>
      <c r="B42" s="350"/>
      <c r="C42" s="350"/>
      <c r="D42" s="350"/>
      <c r="E42" s="372"/>
      <c r="F42" s="350"/>
      <c r="G42" s="350"/>
      <c r="H42" s="350"/>
      <c r="I42" s="369"/>
      <c r="J42" s="369"/>
      <c r="K42" s="369"/>
      <c r="L42" s="369"/>
      <c r="M42" s="355"/>
      <c r="N42" s="566"/>
      <c r="O42" s="566"/>
      <c r="P42" s="566"/>
      <c r="Q42" s="566"/>
      <c r="R42" s="566"/>
      <c r="S42" s="566"/>
      <c r="T42" s="566"/>
      <c r="U42" s="566"/>
      <c r="V42" s="566"/>
      <c r="W42" s="566"/>
      <c r="X42" s="566"/>
      <c r="Y42" s="566"/>
    </row>
    <row r="43" spans="1:25" ht="73.05" customHeight="1" x14ac:dyDescent="0.3">
      <c r="A43" s="361" t="s">
        <v>181</v>
      </c>
      <c r="B43" s="361" t="s">
        <v>340</v>
      </c>
      <c r="C43" s="376" t="s">
        <v>596</v>
      </c>
      <c r="D43" s="564" t="s">
        <v>1011</v>
      </c>
      <c r="E43" s="565" t="s">
        <v>374</v>
      </c>
      <c r="F43" s="638" t="s">
        <v>1012</v>
      </c>
      <c r="G43" s="567" t="s">
        <v>375</v>
      </c>
      <c r="H43" s="581" t="s">
        <v>960</v>
      </c>
      <c r="I43" s="573" t="s">
        <v>961</v>
      </c>
      <c r="J43" s="568"/>
      <c r="K43" s="569"/>
      <c r="L43" s="350"/>
      <c r="M43" s="357" t="e">
        <f>M42+#REF!</f>
        <v>#REF!</v>
      </c>
      <c r="N43" s="394"/>
      <c r="O43" s="394"/>
      <c r="P43" s="394"/>
    </row>
    <row r="44" spans="1:25" x14ac:dyDescent="0.3">
      <c r="A44" s="364" t="s">
        <v>342</v>
      </c>
      <c r="B44" s="364" t="s">
        <v>343</v>
      </c>
      <c r="C44" s="365">
        <v>31954</v>
      </c>
      <c r="D44" s="397">
        <f>SUM(37516528/$C$39*C44)-3562</f>
        <v>14223697.772753706</v>
      </c>
      <c r="E44" s="367">
        <f>100*C44</f>
        <v>3195400</v>
      </c>
      <c r="F44" s="367">
        <v>16113119.891040932</v>
      </c>
      <c r="G44" s="378">
        <f>SUM(D12:F12,D44:E44)+F44</f>
        <v>84434939.663794652</v>
      </c>
      <c r="H44" s="577">
        <v>84434940</v>
      </c>
      <c r="I44" s="397">
        <f t="shared" ref="I44:I70" si="4">H44-G44</f>
        <v>0.33620534837245941</v>
      </c>
      <c r="J44" s="570"/>
      <c r="K44" s="571"/>
      <c r="L44" s="355"/>
      <c r="M44" s="369"/>
      <c r="N44" s="566"/>
      <c r="O44" s="566"/>
      <c r="P44" s="566"/>
      <c r="Q44" s="566"/>
      <c r="R44" s="566"/>
      <c r="S44" s="566"/>
      <c r="T44" s="566"/>
    </row>
    <row r="45" spans="1:25" x14ac:dyDescent="0.3">
      <c r="A45" s="364" t="s">
        <v>0</v>
      </c>
      <c r="B45" s="364" t="s">
        <v>344</v>
      </c>
      <c r="C45" s="365">
        <v>2225</v>
      </c>
      <c r="D45" s="397">
        <f t="shared" ref="D45:D69" si="5">SUM(37516528/$C$39*C45)</f>
        <v>990663.23447383719</v>
      </c>
      <c r="E45" s="367">
        <f t="shared" ref="E45:E69" si="6">100*C45</f>
        <v>222500</v>
      </c>
      <c r="F45" s="367">
        <v>1122259.1735797108</v>
      </c>
      <c r="G45" s="378">
        <f>SUM(D13:F13,D45:E45)+F45</f>
        <v>5879847.4080535481</v>
      </c>
      <c r="H45" s="577">
        <v>5879847</v>
      </c>
      <c r="I45" s="397">
        <f t="shared" si="4"/>
        <v>-0.40805354807525873</v>
      </c>
      <c r="J45" s="570"/>
      <c r="K45" s="571"/>
      <c r="L45" s="355"/>
      <c r="M45" s="369"/>
      <c r="N45" s="566"/>
      <c r="O45" s="566"/>
      <c r="P45" s="566"/>
      <c r="Q45" s="566"/>
      <c r="R45" s="566"/>
      <c r="S45" s="566"/>
      <c r="T45" s="566"/>
    </row>
    <row r="46" spans="1:25" x14ac:dyDescent="0.3">
      <c r="A46" s="364" t="s">
        <v>2</v>
      </c>
      <c r="B46" s="364" t="s">
        <v>345</v>
      </c>
      <c r="C46" s="365">
        <v>1577</v>
      </c>
      <c r="D46" s="397">
        <f t="shared" si="5"/>
        <v>702146.48124280514</v>
      </c>
      <c r="E46" s="367">
        <f t="shared" si="6"/>
        <v>157700</v>
      </c>
      <c r="F46" s="367">
        <v>795416.95134166465</v>
      </c>
      <c r="G46" s="378">
        <f>SUM(D14:F14,D46:E46)+F46</f>
        <v>4167424.4325844701</v>
      </c>
      <c r="H46" s="577">
        <v>4167424</v>
      </c>
      <c r="I46" s="397">
        <f t="shared" si="4"/>
        <v>-0.43258447013795376</v>
      </c>
      <c r="J46" s="570"/>
      <c r="K46" s="571"/>
      <c r="L46" s="355"/>
      <c r="M46" s="355"/>
      <c r="N46" s="566"/>
      <c r="O46" s="566"/>
      <c r="P46" s="566"/>
      <c r="Q46" s="566"/>
      <c r="R46" s="566"/>
      <c r="S46" s="566"/>
      <c r="T46" s="566"/>
    </row>
    <row r="47" spans="1:25" x14ac:dyDescent="0.3">
      <c r="A47" s="364" t="s">
        <v>234</v>
      </c>
      <c r="B47" s="364" t="s">
        <v>346</v>
      </c>
      <c r="C47" s="365">
        <v>2307</v>
      </c>
      <c r="D47" s="397">
        <f t="shared" si="5"/>
        <v>1027173.0705308506</v>
      </c>
      <c r="E47" s="367">
        <f t="shared" si="6"/>
        <v>230700</v>
      </c>
      <c r="F47" s="367">
        <v>1163618.8375048956</v>
      </c>
      <c r="G47" s="378">
        <f>SUM(D15:F15,D47:E47)+F47</f>
        <v>6096542.9080357458</v>
      </c>
      <c r="H47" s="577">
        <v>6096540</v>
      </c>
      <c r="I47" s="397">
        <f t="shared" si="4"/>
        <v>-2.908035745844245</v>
      </c>
      <c r="J47" s="570"/>
      <c r="K47" s="571"/>
      <c r="L47" s="355"/>
      <c r="M47" s="369"/>
      <c r="N47" s="566"/>
      <c r="O47" s="566"/>
      <c r="P47" s="566"/>
      <c r="Q47" s="566"/>
      <c r="R47" s="566"/>
      <c r="S47" s="566"/>
      <c r="T47" s="566"/>
    </row>
    <row r="48" spans="1:25" x14ac:dyDescent="0.3">
      <c r="A48" s="364" t="s">
        <v>3</v>
      </c>
      <c r="B48" s="364" t="s">
        <v>347</v>
      </c>
      <c r="C48" s="365">
        <v>278</v>
      </c>
      <c r="D48" s="397">
        <f t="shared" si="5"/>
        <v>123777.24907133786</v>
      </c>
      <c r="E48" s="367">
        <f t="shared" si="6"/>
        <v>27800</v>
      </c>
      <c r="F48" s="367">
        <v>140219.34842928519</v>
      </c>
      <c r="G48" s="378">
        <f>SUM(D16:F16,D48:E48)+F48-1</f>
        <v>734649.59750062309</v>
      </c>
      <c r="H48" s="577">
        <v>734650</v>
      </c>
      <c r="I48" s="397">
        <f t="shared" si="4"/>
        <v>0.40249937691260129</v>
      </c>
      <c r="J48" s="570"/>
      <c r="K48" s="571"/>
      <c r="L48" s="355"/>
      <c r="M48" s="369"/>
      <c r="N48" s="566"/>
      <c r="O48" s="566"/>
      <c r="P48" s="566"/>
      <c r="Q48" s="566"/>
      <c r="R48" s="566"/>
      <c r="S48" s="566"/>
      <c r="T48" s="566"/>
    </row>
    <row r="49" spans="1:20" x14ac:dyDescent="0.3">
      <c r="A49" s="364" t="s">
        <v>4</v>
      </c>
      <c r="B49" s="364" t="s">
        <v>348</v>
      </c>
      <c r="C49" s="365">
        <v>1900</v>
      </c>
      <c r="D49" s="397">
        <f t="shared" si="5"/>
        <v>845959.61595518689</v>
      </c>
      <c r="E49" s="367">
        <f t="shared" si="6"/>
        <v>190000</v>
      </c>
      <c r="F49" s="367">
        <v>958333.67631525861</v>
      </c>
      <c r="G49" s="378">
        <f>SUM(D17:F17,D49:E49)+F49+1</f>
        <v>5020994.2922704453</v>
      </c>
      <c r="H49" s="577">
        <v>5020994</v>
      </c>
      <c r="I49" s="397">
        <f t="shared" si="4"/>
        <v>-0.29227044526487589</v>
      </c>
      <c r="J49" s="570"/>
      <c r="K49" s="571"/>
      <c r="L49" s="355"/>
      <c r="M49" s="369"/>
      <c r="N49" s="566"/>
      <c r="O49" s="566"/>
      <c r="P49" s="566"/>
      <c r="Q49" s="566"/>
      <c r="R49" s="566"/>
      <c r="S49" s="566"/>
      <c r="T49" s="566"/>
    </row>
    <row r="50" spans="1:20" x14ac:dyDescent="0.3">
      <c r="A50" s="574" t="s">
        <v>6</v>
      </c>
      <c r="B50" s="574" t="s">
        <v>349</v>
      </c>
      <c r="C50" s="575">
        <v>1663</v>
      </c>
      <c r="D50" s="576">
        <f t="shared" si="5"/>
        <v>740437.28491235559</v>
      </c>
      <c r="E50" s="577">
        <f t="shared" si="6"/>
        <v>166300</v>
      </c>
      <c r="F50" s="577">
        <v>838794.15984856582</v>
      </c>
      <c r="G50" s="378">
        <f>SUM(D18:F18,D50:E50)+F50</f>
        <v>4394690.4447609214</v>
      </c>
      <c r="H50" s="577">
        <v>4394690</v>
      </c>
      <c r="I50" s="397">
        <f t="shared" si="4"/>
        <v>-0.44476092141121626</v>
      </c>
      <c r="J50" s="570"/>
      <c r="K50" s="571"/>
      <c r="L50" s="355"/>
      <c r="M50" s="369"/>
      <c r="N50" s="566"/>
      <c r="O50" s="566"/>
      <c r="P50" s="566"/>
      <c r="Q50" s="566"/>
      <c r="R50" s="566"/>
      <c r="S50" s="566"/>
      <c r="T50" s="566"/>
    </row>
    <row r="51" spans="1:20" x14ac:dyDescent="0.3">
      <c r="A51" s="574" t="s">
        <v>8</v>
      </c>
      <c r="B51" s="574" t="s">
        <v>350</v>
      </c>
      <c r="C51" s="575">
        <v>723</v>
      </c>
      <c r="D51" s="576">
        <f t="shared" si="5"/>
        <v>321909.89596610534</v>
      </c>
      <c r="E51" s="577">
        <f t="shared" si="6"/>
        <v>72300</v>
      </c>
      <c r="F51" s="577">
        <v>364671.18314522732</v>
      </c>
      <c r="G51" s="378">
        <f>SUM(D19:F19,D51:E51)+F51</f>
        <v>1910620.0791113328</v>
      </c>
      <c r="H51" s="577">
        <v>1910618</v>
      </c>
      <c r="I51" s="397">
        <f t="shared" si="4"/>
        <v>-2.0791113327722996</v>
      </c>
      <c r="J51" s="570"/>
      <c r="K51" s="571"/>
      <c r="L51" s="355"/>
      <c r="M51" s="369"/>
      <c r="N51" s="566"/>
      <c r="O51" s="566"/>
      <c r="P51" s="566"/>
      <c r="Q51" s="566"/>
      <c r="R51" s="566"/>
      <c r="S51" s="566"/>
      <c r="T51" s="566"/>
    </row>
    <row r="52" spans="1:20" x14ac:dyDescent="0.3">
      <c r="A52" s="574" t="s">
        <v>351</v>
      </c>
      <c r="B52" s="574" t="s">
        <v>352</v>
      </c>
      <c r="C52" s="575">
        <v>3341</v>
      </c>
      <c r="D52" s="576">
        <f t="shared" si="5"/>
        <v>1487553.1983717259</v>
      </c>
      <c r="E52" s="577">
        <f t="shared" si="6"/>
        <v>334100</v>
      </c>
      <c r="F52" s="577">
        <v>1685154.1118785678</v>
      </c>
      <c r="G52" s="378">
        <f>SUM(D20:F20,D52:E52)+F52</f>
        <v>8829020.3102502935</v>
      </c>
      <c r="H52" s="577">
        <v>8829020</v>
      </c>
      <c r="I52" s="397">
        <f t="shared" si="4"/>
        <v>-0.31025029346346855</v>
      </c>
      <c r="J52" s="570"/>
      <c r="K52" s="571"/>
      <c r="L52" s="355"/>
      <c r="M52" s="369"/>
      <c r="N52" s="566"/>
      <c r="O52" s="566"/>
      <c r="P52" s="566"/>
      <c r="Q52" s="566"/>
      <c r="R52" s="566"/>
      <c r="S52" s="566"/>
      <c r="T52" s="566"/>
    </row>
    <row r="53" spans="1:20" x14ac:dyDescent="0.3">
      <c r="A53" s="574" t="s">
        <v>9</v>
      </c>
      <c r="B53" s="574" t="s">
        <v>353</v>
      </c>
      <c r="C53" s="575">
        <v>4036</v>
      </c>
      <c r="D53" s="576">
        <f t="shared" si="5"/>
        <v>1796996.3210500707</v>
      </c>
      <c r="E53" s="577">
        <f t="shared" si="6"/>
        <v>403600</v>
      </c>
      <c r="F53" s="577">
        <v>2035702.4829517808</v>
      </c>
      <c r="G53" s="378">
        <f>SUM(D21:F21,D53:E53)+F53</f>
        <v>10665646.804001851</v>
      </c>
      <c r="H53" s="577">
        <v>10665647</v>
      </c>
      <c r="I53" s="397">
        <f t="shared" si="4"/>
        <v>0.19599814899265766</v>
      </c>
      <c r="J53" s="570"/>
      <c r="K53" s="571"/>
      <c r="L53" s="355"/>
      <c r="M53" s="369"/>
      <c r="N53" s="566"/>
      <c r="O53" s="566"/>
      <c r="P53" s="566"/>
      <c r="Q53" s="566"/>
      <c r="R53" s="566"/>
      <c r="S53" s="566"/>
      <c r="T53" s="566"/>
    </row>
    <row r="54" spans="1:20" x14ac:dyDescent="0.3">
      <c r="A54" s="574" t="s">
        <v>10</v>
      </c>
      <c r="B54" s="574" t="s">
        <v>354</v>
      </c>
      <c r="C54" s="575">
        <v>1332</v>
      </c>
      <c r="D54" s="576">
        <f t="shared" si="5"/>
        <v>593062.21497489943</v>
      </c>
      <c r="E54" s="577">
        <f t="shared" si="6"/>
        <v>133200</v>
      </c>
      <c r="F54" s="577">
        <v>671842.34571153915</v>
      </c>
      <c r="G54" s="378">
        <f>SUM(D22:F22,D54:E54)+F54-1</f>
        <v>3519979.5606864383</v>
      </c>
      <c r="H54" s="577">
        <v>3519980</v>
      </c>
      <c r="I54" s="397">
        <f t="shared" si="4"/>
        <v>0.439313561655581</v>
      </c>
      <c r="J54" s="570"/>
      <c r="K54" s="571"/>
      <c r="L54" s="355"/>
      <c r="M54" s="369"/>
      <c r="N54" s="566"/>
      <c r="O54" s="566"/>
      <c r="P54" s="566"/>
      <c r="Q54" s="566"/>
      <c r="R54" s="566"/>
      <c r="S54" s="566"/>
      <c r="T54" s="566"/>
    </row>
    <row r="55" spans="1:20" x14ac:dyDescent="0.3">
      <c r="A55" s="574" t="s">
        <v>12</v>
      </c>
      <c r="B55" s="574" t="s">
        <v>355</v>
      </c>
      <c r="C55" s="575">
        <v>6133</v>
      </c>
      <c r="D55" s="576">
        <f t="shared" si="5"/>
        <v>2730668.5919227162</v>
      </c>
      <c r="E55" s="577">
        <f t="shared" si="6"/>
        <v>613300</v>
      </c>
      <c r="F55" s="577">
        <v>3093400.2299165688</v>
      </c>
      <c r="G55" s="378">
        <f t="shared" ref="G55:G64" si="7">SUM(D23:F23,D55:E55)+F55</f>
        <v>16207237.821839284</v>
      </c>
      <c r="H55" s="577">
        <v>16207238</v>
      </c>
      <c r="I55" s="397">
        <f t="shared" si="4"/>
        <v>0.17816071584820747</v>
      </c>
      <c r="J55" s="570"/>
      <c r="K55" s="571"/>
      <c r="L55" s="355"/>
      <c r="M55" s="369"/>
      <c r="N55" s="566"/>
      <c r="O55" s="566"/>
      <c r="P55" s="566"/>
      <c r="Q55" s="566"/>
      <c r="R55" s="566"/>
      <c r="S55" s="566"/>
      <c r="T55" s="566"/>
    </row>
    <row r="56" spans="1:20" x14ac:dyDescent="0.3">
      <c r="A56" s="574" t="s">
        <v>13</v>
      </c>
      <c r="B56" s="574" t="s">
        <v>356</v>
      </c>
      <c r="C56" s="575">
        <v>570</v>
      </c>
      <c r="D56" s="576">
        <f t="shared" si="5"/>
        <v>253787.88478655607</v>
      </c>
      <c r="E56" s="577">
        <f t="shared" si="6"/>
        <v>57000</v>
      </c>
      <c r="F56" s="577">
        <v>287500.10289457755</v>
      </c>
      <c r="G56" s="378">
        <f t="shared" si="7"/>
        <v>1506297.9876811337</v>
      </c>
      <c r="H56" s="577">
        <v>1506298</v>
      </c>
      <c r="I56" s="397">
        <f t="shared" si="4"/>
        <v>1.2318866327404976E-2</v>
      </c>
      <c r="J56" s="570"/>
      <c r="K56" s="571"/>
      <c r="L56" s="355"/>
      <c r="M56" s="369"/>
      <c r="N56" s="566"/>
      <c r="O56" s="566"/>
      <c r="P56" s="566"/>
      <c r="Q56" s="566"/>
      <c r="R56" s="566"/>
      <c r="S56" s="566"/>
      <c r="T56" s="566"/>
    </row>
    <row r="57" spans="1:20" x14ac:dyDescent="0.3">
      <c r="A57" s="574" t="s">
        <v>14</v>
      </c>
      <c r="B57" s="574" t="s">
        <v>357</v>
      </c>
      <c r="C57" s="575">
        <v>2378</v>
      </c>
      <c r="D57" s="576">
        <f t="shared" si="5"/>
        <v>1058785.2456533865</v>
      </c>
      <c r="E57" s="577">
        <f t="shared" si="6"/>
        <v>237800</v>
      </c>
      <c r="F57" s="577">
        <v>1199430.2538303605</v>
      </c>
      <c r="G57" s="378">
        <f t="shared" si="7"/>
        <v>6284169.4994837465</v>
      </c>
      <c r="H57" s="577">
        <v>6284169</v>
      </c>
      <c r="I57" s="397">
        <f t="shared" si="4"/>
        <v>-0.49948374647647142</v>
      </c>
      <c r="J57" s="570"/>
      <c r="K57" s="571"/>
      <c r="L57" s="355"/>
      <c r="M57" s="369"/>
      <c r="N57" s="566"/>
      <c r="O57" s="566"/>
      <c r="P57" s="566"/>
      <c r="Q57" s="566"/>
      <c r="R57" s="566"/>
      <c r="S57" s="566"/>
      <c r="T57" s="566"/>
    </row>
    <row r="58" spans="1:20" x14ac:dyDescent="0.3">
      <c r="A58" s="574" t="s">
        <v>102</v>
      </c>
      <c r="B58" s="574" t="s">
        <v>358</v>
      </c>
      <c r="C58" s="575">
        <v>385</v>
      </c>
      <c r="D58" s="576">
        <f t="shared" si="5"/>
        <v>171418.13270670892</v>
      </c>
      <c r="E58" s="577">
        <f t="shared" si="6"/>
        <v>38500</v>
      </c>
      <c r="F58" s="577">
        <v>194188.66599019713</v>
      </c>
      <c r="G58" s="378">
        <f t="shared" si="7"/>
        <v>1017411.7986969061</v>
      </c>
      <c r="H58" s="577">
        <v>1017412</v>
      </c>
      <c r="I58" s="397">
        <f t="shared" si="4"/>
        <v>0.20130309392698109</v>
      </c>
      <c r="J58" s="570"/>
      <c r="K58" s="571"/>
      <c r="L58" s="355"/>
      <c r="M58" s="369"/>
      <c r="N58" s="566"/>
      <c r="O58" s="566"/>
      <c r="P58" s="566"/>
      <c r="Q58" s="566"/>
      <c r="R58" s="566"/>
      <c r="S58" s="566"/>
      <c r="T58" s="566"/>
    </row>
    <row r="59" spans="1:20" x14ac:dyDescent="0.3">
      <c r="A59" s="574" t="s">
        <v>103</v>
      </c>
      <c r="B59" s="574" t="s">
        <v>359</v>
      </c>
      <c r="C59" s="575">
        <v>2429</v>
      </c>
      <c r="D59" s="576">
        <f t="shared" si="5"/>
        <v>1081492.5827132363</v>
      </c>
      <c r="E59" s="577">
        <f t="shared" si="6"/>
        <v>242900</v>
      </c>
      <c r="F59" s="577">
        <v>1225153.9472472437</v>
      </c>
      <c r="G59" s="378">
        <f t="shared" si="7"/>
        <v>6418943.5299604796</v>
      </c>
      <c r="H59" s="577">
        <v>6418944</v>
      </c>
      <c r="I59" s="397">
        <f t="shared" si="4"/>
        <v>0.47003952041268349</v>
      </c>
      <c r="J59" s="570"/>
      <c r="K59" s="571"/>
      <c r="L59" s="355"/>
      <c r="M59" s="369"/>
      <c r="N59" s="566"/>
      <c r="O59" s="566"/>
      <c r="P59" s="566"/>
      <c r="Q59" s="566"/>
      <c r="R59" s="566"/>
      <c r="S59" s="566"/>
      <c r="T59" s="566"/>
    </row>
    <row r="60" spans="1:20" x14ac:dyDescent="0.3">
      <c r="A60" s="574" t="s">
        <v>105</v>
      </c>
      <c r="B60" s="574" t="s">
        <v>360</v>
      </c>
      <c r="C60" s="575">
        <v>3346</v>
      </c>
      <c r="D60" s="576">
        <f t="shared" si="5"/>
        <v>1489779.4078873976</v>
      </c>
      <c r="E60" s="577">
        <f t="shared" si="6"/>
        <v>334600</v>
      </c>
      <c r="F60" s="577">
        <v>1687676.0426057132</v>
      </c>
      <c r="G60" s="378">
        <f t="shared" si="7"/>
        <v>8842233.4504931103</v>
      </c>
      <c r="H60" s="577">
        <v>8842233</v>
      </c>
      <c r="I60" s="397">
        <f t="shared" si="4"/>
        <v>-0.4504931103438139</v>
      </c>
      <c r="J60" s="570"/>
      <c r="K60" s="571"/>
      <c r="L60" s="355"/>
      <c r="M60" s="369"/>
      <c r="N60" s="566"/>
      <c r="O60" s="566"/>
      <c r="P60" s="566"/>
      <c r="Q60" s="566"/>
      <c r="R60" s="566"/>
      <c r="S60" s="566"/>
      <c r="T60" s="566"/>
    </row>
    <row r="61" spans="1:20" x14ac:dyDescent="0.3">
      <c r="A61" s="574" t="s">
        <v>106</v>
      </c>
      <c r="B61" s="574" t="s">
        <v>361</v>
      </c>
      <c r="C61" s="575">
        <v>866</v>
      </c>
      <c r="D61" s="576">
        <f t="shared" si="5"/>
        <v>385579.48811431148</v>
      </c>
      <c r="E61" s="577">
        <f t="shared" si="6"/>
        <v>86600</v>
      </c>
      <c r="F61" s="577">
        <v>436798.40194158629</v>
      </c>
      <c r="G61" s="378">
        <f t="shared" si="7"/>
        <v>2288515.8900558976</v>
      </c>
      <c r="H61" s="577">
        <v>2288516</v>
      </c>
      <c r="I61" s="397">
        <f t="shared" si="4"/>
        <v>0.10994410235434771</v>
      </c>
      <c r="J61" s="570"/>
      <c r="K61" s="571"/>
      <c r="L61" s="355"/>
      <c r="M61" s="369"/>
      <c r="N61" s="566"/>
      <c r="O61" s="566"/>
      <c r="P61" s="566"/>
      <c r="Q61" s="566"/>
      <c r="R61" s="566"/>
      <c r="S61" s="566"/>
      <c r="T61" s="566"/>
    </row>
    <row r="62" spans="1:20" x14ac:dyDescent="0.3">
      <c r="A62" s="574" t="s">
        <v>107</v>
      </c>
      <c r="B62" s="574" t="s">
        <v>362</v>
      </c>
      <c r="C62" s="575">
        <v>2209</v>
      </c>
      <c r="D62" s="576">
        <f t="shared" si="5"/>
        <v>983539.36402368825</v>
      </c>
      <c r="E62" s="577">
        <f t="shared" si="6"/>
        <v>220900</v>
      </c>
      <c r="F62" s="577">
        <v>1114188.9952528453</v>
      </c>
      <c r="G62" s="378">
        <f t="shared" si="7"/>
        <v>5837565.3592765331</v>
      </c>
      <c r="H62" s="577">
        <v>5837565</v>
      </c>
      <c r="I62" s="397">
        <f t="shared" si="4"/>
        <v>-0.35927653312683105</v>
      </c>
      <c r="J62" s="570"/>
      <c r="K62" s="571"/>
      <c r="L62" s="355"/>
      <c r="M62" s="369"/>
      <c r="N62" s="566"/>
      <c r="O62" s="566"/>
      <c r="P62" s="566"/>
      <c r="Q62" s="566"/>
      <c r="R62" s="566"/>
      <c r="S62" s="566"/>
      <c r="T62" s="566"/>
    </row>
    <row r="63" spans="1:20" x14ac:dyDescent="0.3">
      <c r="A63" s="574" t="s">
        <v>108</v>
      </c>
      <c r="B63" s="574" t="s">
        <v>363</v>
      </c>
      <c r="C63" s="575">
        <v>660</v>
      </c>
      <c r="D63" s="576">
        <f t="shared" si="5"/>
        <v>293859.65606864385</v>
      </c>
      <c r="E63" s="577">
        <f t="shared" si="6"/>
        <v>66000</v>
      </c>
      <c r="F63" s="577">
        <v>332894.85598319507</v>
      </c>
      <c r="G63" s="378">
        <f t="shared" si="7"/>
        <v>1744134.5120518389</v>
      </c>
      <c r="H63" s="577">
        <v>1744135</v>
      </c>
      <c r="I63" s="397">
        <f t="shared" si="4"/>
        <v>0.48794816108420491</v>
      </c>
      <c r="J63" s="570"/>
      <c r="K63" s="571"/>
      <c r="L63" s="355"/>
      <c r="M63" s="369"/>
      <c r="N63" s="566"/>
      <c r="O63" s="566"/>
      <c r="P63" s="566"/>
      <c r="Q63" s="566"/>
      <c r="R63" s="566"/>
      <c r="S63" s="566"/>
      <c r="T63" s="566"/>
    </row>
    <row r="64" spans="1:20" x14ac:dyDescent="0.3">
      <c r="A64" s="574" t="s">
        <v>109</v>
      </c>
      <c r="B64" s="574" t="s">
        <v>364</v>
      </c>
      <c r="C64" s="575">
        <v>2714</v>
      </c>
      <c r="D64" s="576">
        <f t="shared" si="5"/>
        <v>1208386.5251065143</v>
      </c>
      <c r="E64" s="577">
        <f t="shared" si="6"/>
        <v>271400</v>
      </c>
      <c r="F64" s="577">
        <v>1368903.9986945326</v>
      </c>
      <c r="G64" s="378">
        <f t="shared" si="7"/>
        <v>7172092.5238010464</v>
      </c>
      <c r="H64" s="577">
        <v>7172093</v>
      </c>
      <c r="I64" s="397">
        <f t="shared" si="4"/>
        <v>0.47619895357638597</v>
      </c>
      <c r="J64" s="570"/>
      <c r="K64" s="571"/>
      <c r="L64" s="355"/>
      <c r="M64" s="369"/>
      <c r="N64" s="566"/>
      <c r="O64" s="566"/>
      <c r="P64" s="566"/>
      <c r="Q64" s="566"/>
      <c r="R64" s="566"/>
      <c r="S64" s="566"/>
      <c r="T64" s="566"/>
    </row>
    <row r="65" spans="1:21" x14ac:dyDescent="0.3">
      <c r="A65" s="574" t="s">
        <v>111</v>
      </c>
      <c r="B65" s="574" t="s">
        <v>365</v>
      </c>
      <c r="C65" s="575">
        <v>1891</v>
      </c>
      <c r="D65" s="576">
        <f t="shared" si="5"/>
        <v>841952.43882697809</v>
      </c>
      <c r="E65" s="577">
        <f t="shared" si="6"/>
        <v>189100</v>
      </c>
      <c r="F65" s="577">
        <v>953794.20100639679</v>
      </c>
      <c r="G65" s="378">
        <f>SUM(D33:F33,D65:E65)+F65-1</f>
        <v>4997208.6398333749</v>
      </c>
      <c r="H65" s="577">
        <v>4997209</v>
      </c>
      <c r="I65" s="397">
        <f t="shared" si="4"/>
        <v>0.36016662511974573</v>
      </c>
      <c r="J65" s="570"/>
      <c r="K65" s="571"/>
      <c r="L65" s="355"/>
      <c r="M65" s="369"/>
      <c r="N65" s="566"/>
      <c r="O65" s="566"/>
      <c r="P65" s="566"/>
      <c r="Q65" s="566"/>
      <c r="R65" s="566"/>
      <c r="S65" s="566"/>
      <c r="T65" s="566"/>
    </row>
    <row r="66" spans="1:21" x14ac:dyDescent="0.3">
      <c r="A66" s="574" t="s">
        <v>112</v>
      </c>
      <c r="B66" s="574" t="s">
        <v>366</v>
      </c>
      <c r="C66" s="575">
        <v>426</v>
      </c>
      <c r="D66" s="576">
        <f t="shared" si="5"/>
        <v>189673.05073521557</v>
      </c>
      <c r="E66" s="577">
        <f t="shared" si="6"/>
        <v>42600</v>
      </c>
      <c r="F66" s="577">
        <v>214868.49795278956</v>
      </c>
      <c r="G66" s="378">
        <f>SUM(D34:F34,D66:E66)+F66</f>
        <v>1125759.5486880052</v>
      </c>
      <c r="H66" s="577">
        <v>1125760</v>
      </c>
      <c r="I66" s="397">
        <f t="shared" si="4"/>
        <v>0.45131199480965734</v>
      </c>
      <c r="J66" s="570"/>
      <c r="K66" s="571"/>
      <c r="L66" s="355"/>
      <c r="M66" s="369"/>
      <c r="N66" s="566"/>
      <c r="O66" s="566"/>
      <c r="P66" s="566"/>
      <c r="Q66" s="566"/>
      <c r="R66" s="566"/>
      <c r="S66" s="566"/>
      <c r="T66" s="566"/>
    </row>
    <row r="67" spans="1:21" x14ac:dyDescent="0.3">
      <c r="A67" s="574" t="s">
        <v>235</v>
      </c>
      <c r="B67" s="574" t="s">
        <v>367</v>
      </c>
      <c r="C67" s="575">
        <v>662</v>
      </c>
      <c r="D67" s="576">
        <f t="shared" si="5"/>
        <v>294750.13987491245</v>
      </c>
      <c r="E67" s="577">
        <f t="shared" si="6"/>
        <v>66200</v>
      </c>
      <c r="F67" s="577">
        <v>333903.62827405322</v>
      </c>
      <c r="G67" s="378">
        <f>SUM(D35:F35,D67:E67)+F67</f>
        <v>1749419.7681489657</v>
      </c>
      <c r="H67" s="577">
        <v>1749420</v>
      </c>
      <c r="I67" s="397">
        <f t="shared" si="4"/>
        <v>0.23185103433206677</v>
      </c>
      <c r="J67" s="570"/>
      <c r="K67" s="571"/>
      <c r="L67" s="355"/>
      <c r="M67" s="369"/>
      <c r="N67" s="566"/>
      <c r="O67" s="566"/>
      <c r="P67" s="566"/>
      <c r="Q67" s="566"/>
      <c r="R67" s="566"/>
      <c r="S67" s="566"/>
      <c r="T67" s="566"/>
    </row>
    <row r="68" spans="1:21" x14ac:dyDescent="0.3">
      <c r="A68" s="574" t="s">
        <v>368</v>
      </c>
      <c r="B68" s="574" t="s">
        <v>369</v>
      </c>
      <c r="C68" s="575">
        <v>6878</v>
      </c>
      <c r="D68" s="576">
        <f t="shared" si="5"/>
        <v>3062373.8097577766</v>
      </c>
      <c r="E68" s="577">
        <f t="shared" si="6"/>
        <v>687800</v>
      </c>
      <c r="F68" s="577">
        <v>3469167.9082612358</v>
      </c>
      <c r="G68" s="378">
        <f>SUM(D36:F36,D68:E68)+F68</f>
        <v>18175995.718019012</v>
      </c>
      <c r="H68" s="577">
        <v>18175996</v>
      </c>
      <c r="I68" s="397">
        <f t="shared" si="4"/>
        <v>0.28198098763823509</v>
      </c>
      <c r="J68" s="570"/>
      <c r="K68" s="571"/>
      <c r="L68" s="355"/>
      <c r="M68" s="369"/>
      <c r="N68" s="566"/>
      <c r="O68" s="566"/>
      <c r="P68" s="566"/>
      <c r="Q68" s="566"/>
      <c r="R68" s="566"/>
      <c r="S68" s="566"/>
      <c r="T68" s="566"/>
    </row>
    <row r="69" spans="1:21" x14ac:dyDescent="0.3">
      <c r="A69" s="574" t="s">
        <v>370</v>
      </c>
      <c r="B69" s="574" t="s">
        <v>371</v>
      </c>
      <c r="C69" s="575">
        <v>925</v>
      </c>
      <c r="D69" s="576">
        <f t="shared" si="5"/>
        <v>411848.7603992357</v>
      </c>
      <c r="E69" s="577">
        <f t="shared" si="6"/>
        <v>92500</v>
      </c>
      <c r="F69" s="577">
        <v>466557.18452190218</v>
      </c>
      <c r="G69" s="378">
        <f>SUM(D37:F37,D69:E69)+F69</f>
        <v>2444430.9449211378</v>
      </c>
      <c r="H69" s="577">
        <v>2444431</v>
      </c>
      <c r="I69" s="397">
        <f t="shared" si="4"/>
        <v>5.5078862234950066E-2</v>
      </c>
      <c r="J69" s="570"/>
      <c r="K69" s="571"/>
      <c r="L69" s="355"/>
      <c r="M69" s="369"/>
      <c r="N69" s="566"/>
      <c r="O69" s="566"/>
      <c r="P69" s="566"/>
      <c r="Q69" s="566"/>
      <c r="R69" s="566"/>
      <c r="S69" s="566"/>
      <c r="T69" s="566"/>
    </row>
    <row r="70" spans="1:21" x14ac:dyDescent="0.3">
      <c r="A70" s="574" t="s">
        <v>372</v>
      </c>
      <c r="B70" s="574" t="s">
        <v>373</v>
      </c>
      <c r="C70" s="578">
        <v>453</v>
      </c>
      <c r="D70" s="576">
        <v>205257</v>
      </c>
      <c r="E70" s="577">
        <v>46100</v>
      </c>
      <c r="F70" s="577">
        <v>232522</v>
      </c>
      <c r="G70" s="378">
        <f>SUM(D38:F38,D70:E70)+F70</f>
        <v>1205508</v>
      </c>
      <c r="H70" s="577">
        <v>1205508</v>
      </c>
      <c r="I70" s="397">
        <f t="shared" si="4"/>
        <v>0</v>
      </c>
      <c r="J70" s="570"/>
      <c r="K70" s="571"/>
      <c r="L70" s="355"/>
      <c r="M70" s="369"/>
      <c r="N70" s="566"/>
      <c r="O70" s="566"/>
      <c r="P70" s="566"/>
      <c r="Q70" s="566"/>
      <c r="R70" s="566"/>
      <c r="S70" s="566"/>
      <c r="T70" s="566"/>
    </row>
    <row r="71" spans="1:21" x14ac:dyDescent="0.3">
      <c r="A71" s="350"/>
      <c r="B71" s="350"/>
      <c r="C71" s="370"/>
      <c r="D71" s="369"/>
      <c r="E71" s="350"/>
      <c r="F71" s="350"/>
      <c r="G71" s="350"/>
      <c r="H71" s="352"/>
      <c r="I71" s="355"/>
      <c r="J71" s="569"/>
      <c r="K71" s="571"/>
      <c r="L71" s="355"/>
      <c r="M71" s="369"/>
      <c r="N71" s="566"/>
      <c r="O71" s="566"/>
      <c r="P71" s="566"/>
      <c r="Q71" s="566"/>
      <c r="R71" s="566"/>
      <c r="S71" s="566"/>
      <c r="T71" s="566"/>
    </row>
    <row r="72" spans="1:21" x14ac:dyDescent="0.3">
      <c r="A72" s="350"/>
      <c r="B72" s="350"/>
      <c r="C72" s="350"/>
      <c r="D72" s="355">
        <f>SUM(D44:D70)</f>
        <v>37516528.417880163</v>
      </c>
      <c r="E72" s="352">
        <f>SUM(E44:E70)</f>
        <v>8426900</v>
      </c>
      <c r="F72" s="352">
        <f>SUM(F44:F70)</f>
        <v>42500081.07612063</v>
      </c>
      <c r="G72" s="352">
        <f>SUM(G44:G71)</f>
        <v>222671280.49400073</v>
      </c>
      <c r="H72" s="352">
        <f>SUM(H44:H70)</f>
        <v>222671277</v>
      </c>
      <c r="I72" s="355"/>
      <c r="J72" s="572"/>
      <c r="K72" s="571"/>
      <c r="L72" s="355"/>
      <c r="M72" s="369"/>
      <c r="N72" s="566"/>
      <c r="O72" s="566"/>
      <c r="P72" s="566"/>
      <c r="Q72" s="566"/>
      <c r="R72" s="566"/>
      <c r="S72" s="566"/>
      <c r="T72" s="566"/>
    </row>
    <row r="73" spans="1:21" x14ac:dyDescent="0.3">
      <c r="A73" s="350"/>
      <c r="B73" s="350"/>
      <c r="C73" s="350"/>
      <c r="D73" s="357">
        <f>D72-'[3]01 (2)'!E45-'[3]01 (2)'!E46</f>
        <v>0.41788016259670258</v>
      </c>
      <c r="E73" s="350"/>
      <c r="F73" s="352"/>
      <c r="G73" s="350"/>
      <c r="H73" s="350"/>
      <c r="I73" s="352"/>
      <c r="J73" s="350"/>
      <c r="K73" s="350"/>
      <c r="L73" s="350"/>
      <c r="M73" s="355"/>
      <c r="N73" s="566"/>
      <c r="O73" s="566"/>
      <c r="P73" s="566"/>
      <c r="Q73" s="566"/>
      <c r="R73" s="566"/>
      <c r="S73" s="566"/>
      <c r="T73" s="566"/>
      <c r="U73" s="566"/>
    </row>
    <row r="74" spans="1:21" x14ac:dyDescent="0.3">
      <c r="A74" s="350"/>
      <c r="B74" s="350" t="s">
        <v>541</v>
      </c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5"/>
      <c r="N74" s="566"/>
      <c r="O74" s="566"/>
      <c r="P74" s="566"/>
      <c r="Q74" s="566"/>
      <c r="R74" s="566"/>
      <c r="S74" s="566"/>
      <c r="T74" s="566"/>
      <c r="U74" s="566"/>
    </row>
    <row r="75" spans="1:21" x14ac:dyDescent="0.3">
      <c r="A75" s="350"/>
      <c r="B75" s="350"/>
      <c r="C75" s="350"/>
      <c r="D75" s="371" t="s">
        <v>50</v>
      </c>
      <c r="E75" s="350"/>
      <c r="F75" s="583" t="s">
        <v>964</v>
      </c>
      <c r="G75" s="584"/>
      <c r="H75" s="584"/>
      <c r="I75" s="584"/>
      <c r="J75" s="584"/>
      <c r="K75" s="584"/>
      <c r="L75" s="584"/>
      <c r="M75" s="355"/>
      <c r="N75" s="566"/>
      <c r="O75" s="566"/>
      <c r="P75" s="566"/>
      <c r="Q75" s="566"/>
      <c r="R75" s="566"/>
      <c r="S75" s="566"/>
      <c r="T75" s="566"/>
      <c r="U75" s="566"/>
    </row>
    <row r="76" spans="1:21" x14ac:dyDescent="0.3">
      <c r="A76" s="350"/>
      <c r="B76" s="350" t="s">
        <v>542</v>
      </c>
      <c r="C76" s="350"/>
      <c r="D76" s="352">
        <f>G3</f>
        <v>178687977</v>
      </c>
      <c r="E76" s="350"/>
      <c r="F76" s="585">
        <f>D76+D77</f>
        <v>220637582</v>
      </c>
      <c r="G76" s="584" t="s">
        <v>966</v>
      </c>
      <c r="H76" s="584"/>
      <c r="I76" s="584"/>
      <c r="J76" s="584"/>
      <c r="K76" s="584"/>
      <c r="L76" s="584"/>
      <c r="M76" s="355"/>
      <c r="N76" s="566"/>
      <c r="O76" s="566"/>
      <c r="P76" s="566"/>
      <c r="Q76" s="566"/>
      <c r="R76" s="566"/>
      <c r="S76" s="566"/>
      <c r="T76" s="566"/>
      <c r="U76" s="566"/>
    </row>
    <row r="77" spans="1:21" x14ac:dyDescent="0.3">
      <c r="A77" s="350"/>
      <c r="B77" s="350" t="s">
        <v>608</v>
      </c>
      <c r="C77" s="350"/>
      <c r="D77" s="352">
        <f>[1]Társulás!$I$53+[1]Társulás!$I$54</f>
        <v>41949605</v>
      </c>
      <c r="E77" s="350"/>
      <c r="F77" s="586">
        <v>110954646</v>
      </c>
      <c r="G77" s="584" t="s">
        <v>967</v>
      </c>
      <c r="H77" s="584"/>
      <c r="I77" s="584"/>
      <c r="J77" s="584"/>
      <c r="K77" s="584"/>
      <c r="L77" s="584"/>
      <c r="M77" s="355"/>
      <c r="N77" s="566"/>
      <c r="O77" s="566"/>
      <c r="P77" s="566"/>
      <c r="Q77" s="566"/>
      <c r="R77" s="566"/>
      <c r="S77" s="566"/>
      <c r="T77" s="566"/>
      <c r="U77" s="566"/>
    </row>
    <row r="78" spans="1:21" x14ac:dyDescent="0.3">
      <c r="A78" s="350"/>
      <c r="B78" s="350" t="s">
        <v>965</v>
      </c>
      <c r="C78" s="350"/>
      <c r="D78" s="354">
        <f>G44</f>
        <v>84434939.663794652</v>
      </c>
      <c r="E78" s="350"/>
      <c r="F78" s="587">
        <v>-1387130</v>
      </c>
      <c r="G78" s="832" t="s">
        <v>968</v>
      </c>
      <c r="H78" s="832"/>
      <c r="I78" s="832"/>
      <c r="J78" s="584"/>
      <c r="K78" s="584"/>
      <c r="L78" s="584"/>
      <c r="M78" s="355"/>
      <c r="N78" s="566"/>
      <c r="O78" s="566"/>
      <c r="P78" s="566"/>
      <c r="Q78" s="566"/>
      <c r="R78" s="566"/>
      <c r="S78" s="566"/>
      <c r="T78" s="566"/>
      <c r="U78" s="566"/>
    </row>
    <row r="79" spans="1:21" x14ac:dyDescent="0.3">
      <c r="A79" s="350"/>
      <c r="B79" s="350"/>
      <c r="C79" s="350"/>
      <c r="D79" s="375">
        <f>SUM(D76:D78)</f>
        <v>305072521.66379464</v>
      </c>
      <c r="E79" s="350"/>
      <c r="F79" s="588">
        <f>SUM(F76:F78)</f>
        <v>330205098</v>
      </c>
      <c r="G79" s="589" t="s">
        <v>969</v>
      </c>
      <c r="H79" s="590"/>
      <c r="I79" s="590"/>
      <c r="J79" s="584"/>
      <c r="K79" s="584"/>
      <c r="L79" s="584"/>
      <c r="M79" s="355"/>
      <c r="N79" s="566"/>
      <c r="O79" s="566"/>
      <c r="P79" s="566"/>
      <c r="Q79" s="566"/>
      <c r="R79" s="566"/>
      <c r="S79" s="566"/>
      <c r="T79" s="566"/>
      <c r="U79" s="566"/>
    </row>
    <row r="80" spans="1:21" x14ac:dyDescent="0.3">
      <c r="A80" s="350"/>
      <c r="B80" s="350"/>
      <c r="C80" s="350"/>
      <c r="D80" s="371"/>
      <c r="E80" s="386"/>
      <c r="F80" s="585">
        <v>84434940</v>
      </c>
      <c r="G80" s="584" t="s">
        <v>970</v>
      </c>
      <c r="H80" s="584"/>
      <c r="I80" s="584"/>
      <c r="J80" s="584"/>
      <c r="K80" s="584"/>
      <c r="L80" s="584"/>
      <c r="M80" s="355"/>
      <c r="N80" s="566"/>
      <c r="O80" s="566"/>
      <c r="P80" s="566"/>
      <c r="Q80" s="566"/>
      <c r="R80" s="566"/>
      <c r="S80" s="566"/>
      <c r="T80" s="566"/>
      <c r="U80" s="566"/>
    </row>
    <row r="81" spans="1:13" x14ac:dyDescent="0.3">
      <c r="A81" s="350"/>
      <c r="B81" s="579" t="s">
        <v>962</v>
      </c>
      <c r="C81" s="350"/>
      <c r="D81" s="371"/>
      <c r="E81" s="282"/>
      <c r="F81" s="588">
        <f>SUM(F79:F80)</f>
        <v>414640038</v>
      </c>
      <c r="G81" s="589" t="s">
        <v>971</v>
      </c>
      <c r="H81" s="590"/>
      <c r="I81" s="590"/>
      <c r="J81" s="584"/>
      <c r="K81" s="584"/>
      <c r="L81" s="584"/>
      <c r="M81" s="355"/>
    </row>
    <row r="82" spans="1:13" x14ac:dyDescent="0.3">
      <c r="A82" s="350"/>
      <c r="B82" s="580" t="s">
        <v>963</v>
      </c>
      <c r="C82" s="350"/>
      <c r="D82" s="371"/>
      <c r="E82" s="582">
        <f>D40+F40+D72+F72-F44-D44-F12-D12</f>
        <v>118881952.83020616</v>
      </c>
      <c r="F82" s="352"/>
      <c r="G82" s="350"/>
      <c r="H82" s="350"/>
      <c r="I82" s="350"/>
      <c r="J82" s="350"/>
      <c r="K82" s="350"/>
      <c r="L82" s="350"/>
      <c r="M82" s="355"/>
    </row>
    <row r="83" spans="1:13" x14ac:dyDescent="0.3">
      <c r="A83" s="350"/>
      <c r="B83" s="350"/>
      <c r="C83" s="350"/>
      <c r="D83" s="371"/>
      <c r="E83" s="282"/>
      <c r="F83" s="352"/>
      <c r="G83" s="350"/>
      <c r="H83" s="350"/>
      <c r="I83" s="350"/>
      <c r="J83" s="350"/>
      <c r="K83" s="350"/>
      <c r="L83" s="350"/>
      <c r="M83" s="355"/>
    </row>
    <row r="84" spans="1:13" x14ac:dyDescent="0.3">
      <c r="A84" s="350"/>
      <c r="B84" s="387">
        <f>D72+E72+E40</f>
        <v>68693898.417880163</v>
      </c>
      <c r="C84" s="350"/>
      <c r="D84" s="371"/>
      <c r="E84" s="282"/>
      <c r="F84" s="352"/>
      <c r="G84" s="350"/>
      <c r="H84" s="350"/>
      <c r="I84" s="350"/>
      <c r="J84" s="350"/>
      <c r="K84" s="350"/>
      <c r="L84" s="350"/>
      <c r="M84" s="355"/>
    </row>
    <row r="85" spans="1:13" x14ac:dyDescent="0.3">
      <c r="A85" s="350"/>
      <c r="B85" s="387">
        <f>B84-'[3]01 (2)'!I36</f>
        <v>145262918.41788018</v>
      </c>
      <c r="C85" s="350"/>
      <c r="D85" s="392">
        <f>J72-J44</f>
        <v>0</v>
      </c>
      <c r="E85" s="282"/>
      <c r="F85" s="352"/>
      <c r="G85" s="350"/>
      <c r="H85" s="350"/>
      <c r="I85" s="350"/>
      <c r="J85" s="350"/>
      <c r="K85" s="350"/>
      <c r="L85" s="350"/>
      <c r="M85" s="355"/>
    </row>
    <row r="86" spans="1:13" x14ac:dyDescent="0.3">
      <c r="A86" s="350"/>
      <c r="B86" s="388"/>
      <c r="C86" s="350"/>
      <c r="D86" s="371"/>
      <c r="E86" s="282"/>
      <c r="F86" s="352"/>
      <c r="G86" s="350"/>
      <c r="H86" s="350"/>
      <c r="I86" s="350"/>
      <c r="J86" s="350"/>
      <c r="K86" s="350"/>
      <c r="L86" s="350"/>
      <c r="M86" s="355"/>
    </row>
    <row r="87" spans="1:13" x14ac:dyDescent="0.3">
      <c r="A87" s="350"/>
      <c r="B87" s="350"/>
      <c r="C87" s="350"/>
      <c r="D87" s="371"/>
      <c r="E87" s="282"/>
      <c r="F87" s="390"/>
      <c r="H87" s="350"/>
      <c r="I87" s="350"/>
      <c r="J87" s="350"/>
      <c r="K87" s="350"/>
      <c r="L87" s="350"/>
      <c r="M87" s="355"/>
    </row>
    <row r="88" spans="1:13" x14ac:dyDescent="0.3">
      <c r="D88" s="389"/>
      <c r="E88" s="282"/>
      <c r="F88" s="390"/>
      <c r="M88" s="355"/>
    </row>
    <row r="89" spans="1:13" x14ac:dyDescent="0.3">
      <c r="D89" s="389"/>
      <c r="E89" s="282"/>
      <c r="F89" s="390"/>
      <c r="M89" s="355"/>
    </row>
    <row r="90" spans="1:13" x14ac:dyDescent="0.3">
      <c r="D90" s="389"/>
      <c r="E90" s="282"/>
      <c r="F90" s="390"/>
      <c r="M90" s="355"/>
    </row>
    <row r="91" spans="1:13" x14ac:dyDescent="0.3">
      <c r="D91" s="389"/>
      <c r="E91" s="282"/>
      <c r="F91" s="390"/>
      <c r="M91" s="355"/>
    </row>
    <row r="92" spans="1:13" x14ac:dyDescent="0.3">
      <c r="D92" s="389"/>
      <c r="E92" s="282"/>
      <c r="F92" s="390"/>
      <c r="M92" s="355"/>
    </row>
    <row r="93" spans="1:13" x14ac:dyDescent="0.3">
      <c r="D93" s="389"/>
      <c r="E93" s="282"/>
      <c r="F93" s="390"/>
      <c r="M93" s="355"/>
    </row>
    <row r="94" spans="1:13" x14ac:dyDescent="0.3">
      <c r="D94" s="389"/>
      <c r="E94" s="282"/>
      <c r="F94" s="390"/>
      <c r="M94" s="355"/>
    </row>
    <row r="95" spans="1:13" x14ac:dyDescent="0.3">
      <c r="D95" s="389"/>
      <c r="E95" s="282"/>
      <c r="F95" s="390"/>
    </row>
    <row r="96" spans="1:13" x14ac:dyDescent="0.3">
      <c r="D96" s="389"/>
      <c r="E96" s="282"/>
      <c r="F96" s="390"/>
    </row>
    <row r="97" spans="4:6" x14ac:dyDescent="0.3">
      <c r="D97" s="389"/>
      <c r="E97" s="282"/>
      <c r="F97" s="390"/>
    </row>
    <row r="98" spans="4:6" x14ac:dyDescent="0.3">
      <c r="D98" s="389"/>
      <c r="E98" s="282"/>
      <c r="F98" s="390"/>
    </row>
    <row r="99" spans="4:6" x14ac:dyDescent="0.3">
      <c r="D99" s="389"/>
      <c r="E99" s="282"/>
      <c r="F99" s="390"/>
    </row>
    <row r="100" spans="4:6" x14ac:dyDescent="0.3">
      <c r="D100" s="389"/>
      <c r="E100" s="282"/>
      <c r="F100" s="390"/>
    </row>
    <row r="101" spans="4:6" x14ac:dyDescent="0.3">
      <c r="D101" s="389"/>
      <c r="E101" s="282"/>
      <c r="F101" s="390"/>
    </row>
    <row r="102" spans="4:6" x14ac:dyDescent="0.3">
      <c r="D102" s="389"/>
      <c r="E102" s="282"/>
      <c r="F102" s="390"/>
    </row>
    <row r="103" spans="4:6" x14ac:dyDescent="0.3">
      <c r="D103" s="389"/>
      <c r="E103" s="282"/>
      <c r="F103" s="390"/>
    </row>
    <row r="104" spans="4:6" x14ac:dyDescent="0.3">
      <c r="D104" s="389"/>
      <c r="E104" s="282"/>
    </row>
    <row r="105" spans="4:6" x14ac:dyDescent="0.3">
      <c r="F105" s="391"/>
    </row>
    <row r="106" spans="4:6" x14ac:dyDescent="0.3">
      <c r="E106" s="391"/>
    </row>
    <row r="107" spans="4:6" x14ac:dyDescent="0.3">
      <c r="F107" s="390"/>
    </row>
    <row r="108" spans="4:6" x14ac:dyDescent="0.3">
      <c r="F108" s="390"/>
    </row>
  </sheetData>
  <mergeCells count="8">
    <mergeCell ref="G78:I78"/>
    <mergeCell ref="J2:K2"/>
    <mergeCell ref="B1:H1"/>
    <mergeCell ref="B4:F4"/>
    <mergeCell ref="B5:F5"/>
    <mergeCell ref="B6:F6"/>
    <mergeCell ref="E10:E11"/>
    <mergeCell ref="F10:F1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A320-7D8A-4210-83AF-8A6EF17C64FA}">
  <dimension ref="A1:N76"/>
  <sheetViews>
    <sheetView topLeftCell="C22" zoomScale="99" zoomScaleNormal="99" workbookViewId="0">
      <selection activeCell="J28" sqref="J28:K28"/>
    </sheetView>
  </sheetViews>
  <sheetFormatPr defaultRowHeight="13.2" x14ac:dyDescent="0.25"/>
  <cols>
    <col min="1" max="1" width="8.77734375" style="46"/>
    <col min="2" max="2" width="26.109375" style="46" customWidth="1"/>
    <col min="3" max="3" width="19.44140625" style="46" customWidth="1"/>
    <col min="4" max="4" width="18" style="46" customWidth="1"/>
    <col min="5" max="5" width="15.6640625" style="46" customWidth="1"/>
    <col min="6" max="6" width="17.44140625" style="46" customWidth="1"/>
    <col min="7" max="7" width="17.21875" style="46" customWidth="1"/>
    <col min="8" max="8" width="9.109375" style="46"/>
    <col min="10" max="10" width="15" customWidth="1"/>
    <col min="11" max="11" width="13" customWidth="1"/>
    <col min="12" max="12" width="16.33203125" customWidth="1"/>
    <col min="13" max="13" width="19.88671875" customWidth="1"/>
    <col min="14" max="14" width="14.77734375" bestFit="1" customWidth="1"/>
  </cols>
  <sheetData>
    <row r="1" spans="1:7" ht="13.8" x14ac:dyDescent="0.25">
      <c r="B1" s="504"/>
      <c r="C1" s="504"/>
      <c r="D1" s="504"/>
      <c r="E1" s="504"/>
      <c r="F1" s="504"/>
      <c r="G1" s="505" t="s">
        <v>211</v>
      </c>
    </row>
    <row r="2" spans="1:7" ht="15.6" x14ac:dyDescent="0.3">
      <c r="A2" s="868" t="s">
        <v>300</v>
      </c>
      <c r="B2" s="868"/>
      <c r="C2" s="868"/>
      <c r="D2" s="868"/>
      <c r="E2" s="868"/>
      <c r="F2" s="868"/>
      <c r="G2" s="868"/>
    </row>
    <row r="3" spans="1:7" ht="13.8" x14ac:dyDescent="0.25">
      <c r="A3" s="869" t="s">
        <v>989</v>
      </c>
      <c r="B3" s="869"/>
      <c r="C3" s="869"/>
      <c r="D3" s="869"/>
      <c r="E3" s="869"/>
      <c r="F3" s="869"/>
      <c r="G3" s="869"/>
    </row>
    <row r="4" spans="1:7" x14ac:dyDescent="0.25">
      <c r="A4" s="591"/>
      <c r="B4" s="591"/>
      <c r="C4" s="591"/>
      <c r="D4" s="591"/>
      <c r="E4" s="591"/>
      <c r="F4" s="591"/>
      <c r="G4" s="591"/>
    </row>
    <row r="5" spans="1:7" ht="14.4" x14ac:dyDescent="0.3">
      <c r="A5" s="591"/>
      <c r="B5" s="870" t="s">
        <v>710</v>
      </c>
      <c r="C5" s="870"/>
      <c r="D5" s="870"/>
      <c r="E5" s="870"/>
      <c r="F5" s="870"/>
      <c r="G5" s="870"/>
    </row>
    <row r="6" spans="1:7" ht="14.4" x14ac:dyDescent="0.3">
      <c r="A6" s="591"/>
      <c r="B6" s="871" t="s">
        <v>990</v>
      </c>
      <c r="C6" s="871"/>
      <c r="D6" s="871"/>
      <c r="E6" s="871"/>
      <c r="F6" s="871"/>
      <c r="G6" s="871"/>
    </row>
    <row r="7" spans="1:7" ht="28.8" x14ac:dyDescent="0.3">
      <c r="B7" s="506"/>
      <c r="C7" s="506"/>
      <c r="D7" s="507" t="s">
        <v>711</v>
      </c>
      <c r="E7" s="508" t="s">
        <v>712</v>
      </c>
      <c r="F7" s="508" t="s">
        <v>713</v>
      </c>
      <c r="G7" s="507" t="s">
        <v>714</v>
      </c>
    </row>
    <row r="8" spans="1:7" ht="28.95" customHeight="1" x14ac:dyDescent="0.3">
      <c r="A8" s="873" t="s">
        <v>715</v>
      </c>
      <c r="B8" s="872" t="s">
        <v>716</v>
      </c>
      <c r="C8" s="872"/>
      <c r="D8" s="626">
        <f>'2024. tagdíj'!E40</f>
        <v>22750470</v>
      </c>
      <c r="E8" s="626">
        <v>22750470</v>
      </c>
      <c r="F8" s="626">
        <f>D8-E8</f>
        <v>0</v>
      </c>
      <c r="G8" s="630" t="s">
        <v>717</v>
      </c>
    </row>
    <row r="9" spans="1:7" ht="43.2" x14ac:dyDescent="0.3">
      <c r="A9" s="873"/>
      <c r="B9" s="874" t="s">
        <v>718</v>
      </c>
      <c r="C9" s="874"/>
      <c r="D9" s="626">
        <f>'2024. tagdíj'!F40</f>
        <v>8426100</v>
      </c>
      <c r="E9" s="626">
        <v>8426100</v>
      </c>
      <c r="F9" s="626">
        <f t="shared" ref="F9:F14" si="0">D9-E9</f>
        <v>0</v>
      </c>
      <c r="G9" s="630" t="s">
        <v>719</v>
      </c>
    </row>
    <row r="10" spans="1:7" ht="43.2" x14ac:dyDescent="0.3">
      <c r="A10" s="873"/>
      <c r="B10" s="875" t="s">
        <v>720</v>
      </c>
      <c r="C10" s="875"/>
      <c r="D10" s="626">
        <f>'2024. tagdíj'!E72</f>
        <v>8426900</v>
      </c>
      <c r="E10" s="626">
        <v>8426900</v>
      </c>
      <c r="F10" s="626">
        <f t="shared" si="0"/>
        <v>0</v>
      </c>
      <c r="G10" s="627" t="s">
        <v>992</v>
      </c>
    </row>
    <row r="11" spans="1:7" ht="172.8" x14ac:dyDescent="0.3">
      <c r="A11" s="873"/>
      <c r="B11" s="876" t="s">
        <v>721</v>
      </c>
      <c r="C11" s="876"/>
      <c r="D11" s="625">
        <f>'2024. tagdíj'!D40</f>
        <v>103051203</v>
      </c>
      <c r="E11" s="625">
        <v>103051203</v>
      </c>
      <c r="F11" s="626">
        <f t="shared" si="0"/>
        <v>0</v>
      </c>
      <c r="G11" s="627" t="s">
        <v>722</v>
      </c>
    </row>
    <row r="12" spans="1:7" ht="31.5" customHeight="1" x14ac:dyDescent="0.3">
      <c r="A12" s="873"/>
      <c r="B12" s="876" t="s">
        <v>993</v>
      </c>
      <c r="C12" s="876"/>
      <c r="D12" s="625">
        <f>'2024. tagdíj'!D72</f>
        <v>37516528.417880163</v>
      </c>
      <c r="E12" s="625">
        <v>37516528</v>
      </c>
      <c r="F12" s="626">
        <f t="shared" si="0"/>
        <v>0.41788016259670258</v>
      </c>
      <c r="G12" s="627"/>
    </row>
    <row r="13" spans="1:7" ht="31.5" customHeight="1" x14ac:dyDescent="0.3">
      <c r="A13" s="873"/>
      <c r="B13" s="877" t="s">
        <v>994</v>
      </c>
      <c r="C13" s="877"/>
      <c r="D13" s="625">
        <f>'2024. tagdíj'!F72</f>
        <v>42500081.07612063</v>
      </c>
      <c r="E13" s="625">
        <v>42500081</v>
      </c>
      <c r="F13" s="626">
        <v>0</v>
      </c>
      <c r="G13" s="627"/>
    </row>
    <row r="14" spans="1:7" ht="28.95" customHeight="1" x14ac:dyDescent="0.3">
      <c r="A14" s="510"/>
      <c r="B14" s="878" t="s">
        <v>723</v>
      </c>
      <c r="C14" s="879"/>
      <c r="D14" s="628">
        <f>E14</f>
        <v>330205098</v>
      </c>
      <c r="E14" s="628">
        <f>'2024. tagdíj'!F79</f>
        <v>330205098</v>
      </c>
      <c r="F14" s="628">
        <f t="shared" si="0"/>
        <v>0</v>
      </c>
      <c r="G14" s="629"/>
    </row>
    <row r="15" spans="1:7" ht="14.4" thickBot="1" x14ac:dyDescent="0.3">
      <c r="B15" s="880" t="s">
        <v>38</v>
      </c>
      <c r="C15" s="880"/>
      <c r="D15" s="511">
        <f>SUM(D8:D14)</f>
        <v>552876380.49400079</v>
      </c>
      <c r="E15" s="511">
        <f>SUM(E8:E14)</f>
        <v>552876380</v>
      </c>
      <c r="F15" s="511">
        <f>SUM(F8:F14)</f>
        <v>0.41788016259670258</v>
      </c>
      <c r="G15" s="512"/>
    </row>
    <row r="16" spans="1:7" ht="29.4" thickBot="1" x14ac:dyDescent="0.35">
      <c r="B16" s="881" t="s">
        <v>724</v>
      </c>
      <c r="C16" s="882"/>
      <c r="D16" s="513"/>
      <c r="E16" s="511">
        <f>'2024. tagdíj'!F81</f>
        <v>414640038</v>
      </c>
      <c r="F16" s="514">
        <f>E16/E15</f>
        <v>0.74996880496142737</v>
      </c>
      <c r="G16" s="509" t="s">
        <v>995</v>
      </c>
    </row>
    <row r="17" spans="2:14" ht="29.4" thickBot="1" x14ac:dyDescent="0.35">
      <c r="B17" s="881" t="s">
        <v>725</v>
      </c>
      <c r="C17" s="882"/>
      <c r="D17" s="513"/>
      <c r="E17" s="511">
        <f>E15-E16-5</f>
        <v>138236337</v>
      </c>
      <c r="F17" s="514">
        <f>E17/E15</f>
        <v>0.25003118599495966</v>
      </c>
      <c r="G17" s="509" t="s">
        <v>996</v>
      </c>
    </row>
    <row r="18" spans="2:14" ht="13.8" x14ac:dyDescent="0.25">
      <c r="B18" s="515"/>
      <c r="C18" s="515"/>
      <c r="D18" s="513"/>
      <c r="E18" s="513"/>
      <c r="F18" s="513"/>
      <c r="G18" s="516"/>
    </row>
    <row r="19" spans="2:14" ht="13.8" x14ac:dyDescent="0.25">
      <c r="B19" s="515" t="s">
        <v>726</v>
      </c>
      <c r="C19" s="515"/>
      <c r="D19" s="513"/>
      <c r="E19" s="513"/>
      <c r="F19" s="513"/>
      <c r="G19" s="516"/>
    </row>
    <row r="20" spans="2:14" x14ac:dyDescent="0.25">
      <c r="B20" s="46" t="s">
        <v>991</v>
      </c>
      <c r="D20" s="517"/>
      <c r="E20" s="184"/>
    </row>
    <row r="21" spans="2:14" x14ac:dyDescent="0.25">
      <c r="B21" s="184"/>
      <c r="D21" s="517"/>
    </row>
    <row r="22" spans="2:14" ht="13.8" x14ac:dyDescent="0.25">
      <c r="B22" s="518"/>
      <c r="C22" s="518"/>
      <c r="D22" s="519"/>
    </row>
    <row r="23" spans="2:14" ht="13.8" x14ac:dyDescent="0.25">
      <c r="B23" s="518"/>
      <c r="C23" s="518"/>
      <c r="D23" s="519"/>
    </row>
    <row r="24" spans="2:14" ht="13.95" customHeight="1" x14ac:dyDescent="0.25">
      <c r="B24" s="518" t="s">
        <v>727</v>
      </c>
      <c r="J24" s="83" t="s">
        <v>1022</v>
      </c>
      <c r="K24" s="46"/>
      <c r="L24" s="46"/>
      <c r="M24" s="46"/>
    </row>
    <row r="25" spans="2:14" x14ac:dyDescent="0.25">
      <c r="J25" s="3" t="s">
        <v>1030</v>
      </c>
      <c r="K25" s="46"/>
      <c r="L25" s="46"/>
      <c r="M25" s="46"/>
    </row>
    <row r="26" spans="2:14" x14ac:dyDescent="0.25">
      <c r="B26" s="46" t="s">
        <v>728</v>
      </c>
      <c r="D26" s="520">
        <f>'2024. tagdíj'!D40</f>
        <v>103051203</v>
      </c>
      <c r="J26" s="184" t="s">
        <v>728</v>
      </c>
      <c r="K26" s="520">
        <f>'2024. tagdíj'!D72+'2024. tagdíj'!F72</f>
        <v>80016609.494000793</v>
      </c>
      <c r="L26" s="46"/>
      <c r="M26" s="46"/>
    </row>
    <row r="27" spans="2:14" x14ac:dyDescent="0.25">
      <c r="J27" s="46"/>
      <c r="K27" s="46"/>
      <c r="L27" s="46"/>
      <c r="M27" s="46"/>
    </row>
    <row r="28" spans="2:14" ht="66" x14ac:dyDescent="0.25">
      <c r="B28" s="862" t="s">
        <v>729</v>
      </c>
      <c r="C28" s="862"/>
      <c r="D28" s="521" t="s">
        <v>730</v>
      </c>
      <c r="E28" s="521" t="s">
        <v>221</v>
      </c>
      <c r="F28" s="521" t="s">
        <v>731</v>
      </c>
      <c r="G28" s="521" t="s">
        <v>38</v>
      </c>
      <c r="J28" s="855" t="s">
        <v>729</v>
      </c>
      <c r="K28" s="855"/>
      <c r="L28" s="631" t="s">
        <v>1023</v>
      </c>
      <c r="M28" s="631" t="s">
        <v>1024</v>
      </c>
      <c r="N28" s="632" t="s">
        <v>38</v>
      </c>
    </row>
    <row r="29" spans="2:14" ht="25.95" customHeight="1" x14ac:dyDescent="0.25">
      <c r="B29" s="861" t="s">
        <v>1004</v>
      </c>
      <c r="C29" s="862"/>
      <c r="D29" s="522">
        <f>'Kiadások korm.funkciónként'!D95</f>
        <v>181787846</v>
      </c>
      <c r="E29" s="522">
        <f>'Kiadások korm.funkciónként'!P157+'Kiadások korm.funkciónként'!Q157</f>
        <v>177352640</v>
      </c>
      <c r="F29" s="522">
        <f>'Kiadások korm.funkciónként'!R157+'Kiadások korm.funkciónként'!S157</f>
        <v>183175467</v>
      </c>
      <c r="G29" s="522">
        <f>SUM(D29:F29)</f>
        <v>542315953</v>
      </c>
      <c r="J29" s="861" t="s">
        <v>1004</v>
      </c>
      <c r="K29" s="862"/>
      <c r="L29" s="633">
        <f>SUM('Kiadások korm.funkciónként'!F157:M157)</f>
        <v>1042151841</v>
      </c>
      <c r="M29" s="633">
        <f>'Kiadások korm.funkciónként'!C95+'Kiadások korm.funkciónként'!E95</f>
        <v>272449651</v>
      </c>
      <c r="N29" s="633">
        <f>L29+M29</f>
        <v>1314601492</v>
      </c>
    </row>
    <row r="30" spans="2:14" ht="25.95" customHeight="1" x14ac:dyDescent="0.25">
      <c r="B30" s="861" t="s">
        <v>1005</v>
      </c>
      <c r="C30" s="862"/>
      <c r="D30" s="522">
        <f>'Bevételek korm.funkciónként'!E53</f>
        <v>3208120</v>
      </c>
      <c r="E30" s="522">
        <f>'Bevételek korm.funkciónként'!N81</f>
        <v>96977613</v>
      </c>
      <c r="F30" s="522">
        <f>'Bevételek korm.funkciónként'!S115+'Bevételek korm.funkciónként'!T115</f>
        <v>41165916</v>
      </c>
      <c r="G30" s="522">
        <f>SUM(D30:F30)</f>
        <v>141351649</v>
      </c>
      <c r="J30" s="861" t="s">
        <v>1005</v>
      </c>
      <c r="K30" s="862"/>
      <c r="L30" s="633">
        <f>SUM('Bevételek korm.funkciónként'!E81:L81)</f>
        <v>319107180</v>
      </c>
      <c r="M30" s="633">
        <f>'Bevételek korm.funkciónként'!D53+'Bevételek korm.funkciónként'!F53</f>
        <v>5851428</v>
      </c>
      <c r="N30" s="633">
        <f t="shared" ref="N30:N32" si="1">L30+M30</f>
        <v>324958608</v>
      </c>
    </row>
    <row r="31" spans="2:14" ht="18" customHeight="1" x14ac:dyDescent="0.25">
      <c r="B31" s="865" t="s">
        <v>1006</v>
      </c>
      <c r="C31" s="866"/>
      <c r="D31" s="522">
        <v>110275460</v>
      </c>
      <c r="E31" s="522">
        <f>'Állami támogatások '!G6</f>
        <v>38831520</v>
      </c>
      <c r="F31" s="522">
        <f>'Állami támogatások '!G7+támogatás!O11</f>
        <v>101967820</v>
      </c>
      <c r="G31" s="522">
        <f>SUM(D31:F31)</f>
        <v>251074800</v>
      </c>
      <c r="J31" s="855" t="s">
        <v>1006</v>
      </c>
      <c r="K31" s="855"/>
      <c r="L31" s="633">
        <f>'Állami támogatások '!G8+'Állami támogatások '!G9+'Állami támogatások '!G10+'Állami támogatások '!G11+'Állami támogatások '!G12+'Állami támogatások '!G13+'Állami támogatások '!G17+'Állami támogatások '!G19+('Állami támogatások '!G14/201.5*143)+('Állami támogatások '!G15/201.5*143)</f>
        <v>478258863.48387098</v>
      </c>
      <c r="M31" s="633">
        <f>83982870+'Állami támogatások '!G16</f>
        <v>131791126</v>
      </c>
      <c r="N31" s="633">
        <f t="shared" si="1"/>
        <v>610049989.48387098</v>
      </c>
    </row>
    <row r="32" spans="2:14" ht="26.4" customHeight="1" x14ac:dyDescent="0.25">
      <c r="B32" s="865" t="s">
        <v>732</v>
      </c>
      <c r="C32" s="866"/>
      <c r="D32" s="523">
        <f>G44/174*50/50*20</f>
        <v>9362887.931034483</v>
      </c>
      <c r="E32" s="523">
        <f>G44/174*124/124*1</f>
        <v>468144.39655172412</v>
      </c>
      <c r="F32" s="523">
        <f>G44/174*124/124*23</f>
        <v>10767321.120689655</v>
      </c>
      <c r="G32" s="684">
        <f>SUM(D32:F32)</f>
        <v>20598353.448275864</v>
      </c>
      <c r="J32" s="863" t="s">
        <v>732</v>
      </c>
      <c r="K32" s="864"/>
      <c r="L32" s="634">
        <f>G42/174*124/124*97</f>
        <v>168113641.77586207</v>
      </c>
      <c r="M32" s="634">
        <f>G42/174*50/50*30</f>
        <v>51993909.827586204</v>
      </c>
      <c r="N32" s="685">
        <f t="shared" si="1"/>
        <v>220107551.60344827</v>
      </c>
    </row>
    <row r="33" spans="2:14" ht="43.95" customHeight="1" x14ac:dyDescent="0.25">
      <c r="B33" s="862" t="s">
        <v>733</v>
      </c>
      <c r="C33" s="862"/>
      <c r="D33" s="522">
        <f>D29-D30-D31-D32</f>
        <v>58941378.068965517</v>
      </c>
      <c r="E33" s="522">
        <f t="shared" ref="E33:F33" si="2">E29-E30-E31-E32</f>
        <v>41075362.603448279</v>
      </c>
      <c r="F33" s="522">
        <f t="shared" si="2"/>
        <v>29274409.879310347</v>
      </c>
      <c r="G33" s="524">
        <f>D33+E33+F33</f>
        <v>129291150.55172414</v>
      </c>
      <c r="J33" s="855" t="s">
        <v>733</v>
      </c>
      <c r="K33" s="855"/>
      <c r="L33" s="633">
        <f>L29-L30-L31-L32</f>
        <v>76672155.740266949</v>
      </c>
      <c r="M33" s="633">
        <f>M29-M30-M31-M32</f>
        <v>82813187.172413796</v>
      </c>
      <c r="N33" s="635">
        <f>L33+M33</f>
        <v>159485342.91268075</v>
      </c>
    </row>
    <row r="34" spans="2:14" ht="32.4" customHeight="1" x14ac:dyDescent="0.25">
      <c r="B34" s="862" t="s">
        <v>734</v>
      </c>
      <c r="C34" s="862"/>
      <c r="D34" s="862"/>
      <c r="E34" s="862"/>
      <c r="F34" s="862"/>
      <c r="G34" s="522">
        <f>D26</f>
        <v>103051203</v>
      </c>
      <c r="J34" s="856" t="s">
        <v>734</v>
      </c>
      <c r="K34" s="857"/>
      <c r="L34" s="858"/>
      <c r="M34" s="686"/>
      <c r="N34" s="633">
        <f>'2024. tagdíj'!D72+'2024. tagdíj'!F72</f>
        <v>80016609.494000793</v>
      </c>
    </row>
    <row r="35" spans="2:14" ht="13.8" customHeight="1" x14ac:dyDescent="0.25">
      <c r="B35" s="512"/>
      <c r="C35" s="512"/>
      <c r="D35" s="512"/>
      <c r="E35" s="512"/>
      <c r="F35" s="512"/>
      <c r="G35" s="525"/>
      <c r="J35" s="636"/>
      <c r="K35" s="636"/>
      <c r="L35" s="636"/>
      <c r="M35" s="636"/>
      <c r="N35" s="637"/>
    </row>
    <row r="36" spans="2:14" ht="28.05" customHeight="1" x14ac:dyDescent="0.25">
      <c r="B36" s="862" t="s">
        <v>735</v>
      </c>
      <c r="C36" s="862"/>
      <c r="D36" s="862"/>
      <c r="E36" s="862"/>
      <c r="F36" s="862"/>
      <c r="G36" s="524">
        <v>0</v>
      </c>
      <c r="J36" s="856" t="s">
        <v>997</v>
      </c>
      <c r="K36" s="857"/>
      <c r="L36" s="858"/>
      <c r="M36" s="686"/>
      <c r="N36" s="635">
        <v>0</v>
      </c>
    </row>
    <row r="37" spans="2:14" x14ac:dyDescent="0.25">
      <c r="B37" s="83"/>
    </row>
    <row r="38" spans="2:14" ht="26.55" customHeight="1" x14ac:dyDescent="0.25">
      <c r="B38" s="526"/>
      <c r="C38" s="516"/>
      <c r="D38" s="516"/>
      <c r="E38" s="520"/>
      <c r="G38" s="527">
        <v>11038969</v>
      </c>
    </row>
    <row r="39" spans="2:14" ht="13.8" thickBot="1" x14ac:dyDescent="0.3">
      <c r="B39" s="184" t="s">
        <v>1007</v>
      </c>
      <c r="D39" s="520">
        <f>'2024. tagdíj'!F79</f>
        <v>330205098</v>
      </c>
      <c r="E39" s="517"/>
      <c r="G39" s="520"/>
    </row>
    <row r="40" spans="2:14" ht="33" customHeight="1" thickBot="1" x14ac:dyDescent="0.3">
      <c r="B40" s="688" t="s">
        <v>998</v>
      </c>
      <c r="C40" s="938" t="s">
        <v>538</v>
      </c>
      <c r="D40" s="938" t="s">
        <v>539</v>
      </c>
      <c r="E40" s="528"/>
      <c r="F40" s="528"/>
      <c r="G40" s="939">
        <v>330205098</v>
      </c>
    </row>
    <row r="41" spans="2:14" ht="13.8" customHeight="1" x14ac:dyDescent="0.25">
      <c r="B41" s="851" t="s">
        <v>1008</v>
      </c>
      <c r="C41" s="844">
        <f>'Kiadások korm.funkciónként'!B157</f>
        <v>1496466452</v>
      </c>
      <c r="D41" s="844">
        <f>'Kiadások korm.funkciónként'!B95</f>
        <v>454237497</v>
      </c>
      <c r="E41" s="528"/>
      <c r="F41" s="528"/>
      <c r="G41" s="939">
        <v>-28640421</v>
      </c>
    </row>
    <row r="42" spans="2:14" ht="15" customHeight="1" x14ac:dyDescent="0.25">
      <c r="B42" s="867"/>
      <c r="C42" s="845"/>
      <c r="D42" s="845"/>
      <c r="E42" s="528"/>
      <c r="F42" s="528"/>
      <c r="G42" s="940">
        <f>G40+G41</f>
        <v>301564677</v>
      </c>
    </row>
    <row r="43" spans="2:14" ht="16.2" customHeight="1" thickBot="1" x14ac:dyDescent="0.3">
      <c r="B43" s="852"/>
      <c r="C43" s="846"/>
      <c r="D43" s="846"/>
      <c r="E43" s="529"/>
      <c r="F43" s="528"/>
      <c r="G43" s="941">
        <v>220107552</v>
      </c>
    </row>
    <row r="44" spans="2:14" x14ac:dyDescent="0.25">
      <c r="B44" s="851" t="s">
        <v>1016</v>
      </c>
      <c r="C44" s="853">
        <f>'Bevételek korm.funkciónként'!B71+'Bevételek korm.funkciónként'!B76</f>
        <v>525999729</v>
      </c>
      <c r="D44" s="853">
        <f>'Bevételek korm.funkciónként'!B43+'Bevételek korm.funkciónként'!B49</f>
        <v>15349195</v>
      </c>
      <c r="E44" s="529"/>
      <c r="F44" s="528"/>
      <c r="G44" s="942">
        <f>G42-G43</f>
        <v>81457125</v>
      </c>
    </row>
    <row r="45" spans="2:14" ht="52.2" customHeight="1" thickBot="1" x14ac:dyDescent="0.3">
      <c r="B45" s="852"/>
      <c r="C45" s="854"/>
      <c r="D45" s="854"/>
      <c r="E45" s="529"/>
      <c r="F45" s="528"/>
      <c r="G45" s="691"/>
    </row>
    <row r="46" spans="2:14" x14ac:dyDescent="0.25">
      <c r="B46" s="851" t="s">
        <v>999</v>
      </c>
      <c r="C46" s="853">
        <f>'Állami támogatások '!G22</f>
        <v>674089940</v>
      </c>
      <c r="D46" s="853">
        <f>'Állami támogatások '!G21</f>
        <v>342778048</v>
      </c>
      <c r="G46" s="927"/>
    </row>
    <row r="47" spans="2:14" ht="13.8" thickBot="1" x14ac:dyDescent="0.3">
      <c r="B47" s="852"/>
      <c r="C47" s="854"/>
      <c r="D47" s="854"/>
      <c r="G47" s="928"/>
    </row>
    <row r="48" spans="2:14" ht="47.55" customHeight="1" x14ac:dyDescent="0.25">
      <c r="B48" s="851" t="s">
        <v>1025</v>
      </c>
      <c r="C48" s="853">
        <f>támogatás!O10+támogatás!O11+támogatás!O12+támogatás!O27</f>
        <v>43109000</v>
      </c>
      <c r="D48" s="859">
        <f>támogatás!O28</f>
        <v>1800000</v>
      </c>
      <c r="G48" s="927"/>
    </row>
    <row r="49" spans="2:13" ht="55.8" customHeight="1" thickBot="1" x14ac:dyDescent="0.3">
      <c r="B49" s="852"/>
      <c r="C49" s="854"/>
      <c r="D49" s="860"/>
      <c r="G49" s="928"/>
    </row>
    <row r="50" spans="2:13" ht="37.049999999999997" customHeight="1" x14ac:dyDescent="0.25">
      <c r="B50" s="851" t="s">
        <v>1000</v>
      </c>
      <c r="C50" s="853">
        <f>'2024. tagdíj'!J16</f>
        <v>140810987.66692433</v>
      </c>
      <c r="D50" s="853">
        <f>'2024. tagdíj'!K16+'2024. tagdíj'!F40</f>
        <v>50682924.409196317</v>
      </c>
    </row>
    <row r="51" spans="2:13" ht="37.049999999999997" customHeight="1" thickBot="1" x14ac:dyDescent="0.3">
      <c r="B51" s="852"/>
      <c r="C51" s="854"/>
      <c r="D51" s="854"/>
    </row>
    <row r="52" spans="2:13" ht="19.95" customHeight="1" x14ac:dyDescent="0.25">
      <c r="B52" s="851" t="s">
        <v>1001</v>
      </c>
      <c r="C52" s="853">
        <f>'Működési bevételek'!J76</f>
        <v>86902949</v>
      </c>
      <c r="D52" s="853">
        <f>'Működési bevételek'!J82</f>
        <v>40540755</v>
      </c>
    </row>
    <row r="53" spans="2:13" ht="28.2" customHeight="1" thickBot="1" x14ac:dyDescent="0.3">
      <c r="B53" s="852"/>
      <c r="C53" s="854"/>
      <c r="D53" s="854"/>
    </row>
    <row r="54" spans="2:13" ht="40.200000000000003" thickBot="1" x14ac:dyDescent="0.3">
      <c r="B54" s="689" t="s">
        <v>1002</v>
      </c>
      <c r="C54" s="690">
        <f>C52+C50+C48+C46+C44-C41</f>
        <v>-25553846.333075523</v>
      </c>
      <c r="D54" s="690">
        <f>D52+D50+D48+D46+D44-D41</f>
        <v>-3086574.5908036828</v>
      </c>
    </row>
    <row r="55" spans="2:13" ht="45" customHeight="1" thickBot="1" x14ac:dyDescent="0.3">
      <c r="B55" s="692" t="s">
        <v>1026</v>
      </c>
      <c r="C55" s="847">
        <f>G32</f>
        <v>20598353.448275864</v>
      </c>
      <c r="D55" s="848"/>
    </row>
    <row r="56" spans="2:13" ht="66.599999999999994" thickBot="1" x14ac:dyDescent="0.3">
      <c r="B56" s="693" t="s">
        <v>1027</v>
      </c>
      <c r="C56" s="849">
        <f>N32</f>
        <v>220107551.60344827</v>
      </c>
      <c r="D56" s="850"/>
    </row>
    <row r="57" spans="2:13" ht="25.5" customHeight="1" x14ac:dyDescent="0.25">
      <c r="B57" s="838" t="s">
        <v>1003</v>
      </c>
      <c r="C57" s="840">
        <f>D39+C54+D54-C55-C56</f>
        <v>60858772.024396658</v>
      </c>
      <c r="D57" s="841"/>
      <c r="M57" s="8"/>
    </row>
    <row r="58" spans="2:13" ht="55.2" customHeight="1" thickBot="1" x14ac:dyDescent="0.3">
      <c r="B58" s="839"/>
      <c r="C58" s="842"/>
      <c r="D58" s="843"/>
      <c r="M58" s="639"/>
    </row>
    <row r="59" spans="2:13" ht="27.45" customHeight="1" x14ac:dyDescent="0.3">
      <c r="B59" s="530"/>
      <c r="C59" s="531"/>
      <c r="D59" s="532"/>
    </row>
    <row r="60" spans="2:13" ht="36" customHeight="1" x14ac:dyDescent="0.3">
      <c r="B60" s="530"/>
      <c r="C60" s="531"/>
      <c r="D60" s="532"/>
    </row>
    <row r="61" spans="2:13" ht="15.6" x14ac:dyDescent="0.3">
      <c r="B61" s="530"/>
      <c r="C61" s="531"/>
      <c r="D61" s="532"/>
    </row>
    <row r="62" spans="2:13" ht="15.6" x14ac:dyDescent="0.3">
      <c r="B62" s="530"/>
      <c r="C62" s="531"/>
      <c r="D62" s="532"/>
    </row>
    <row r="63" spans="2:13" ht="15.6" x14ac:dyDescent="0.3">
      <c r="B63" s="530"/>
      <c r="C63" s="531"/>
      <c r="D63" s="532"/>
    </row>
    <row r="64" spans="2:13" ht="15.6" x14ac:dyDescent="0.3">
      <c r="B64" s="530"/>
      <c r="C64" s="531"/>
      <c r="D64" s="532"/>
    </row>
    <row r="65" spans="2:4" ht="15.6" x14ac:dyDescent="0.3">
      <c r="B65" s="530"/>
      <c r="C65" s="531"/>
      <c r="D65" s="532"/>
    </row>
    <row r="66" spans="2:4" ht="15.6" x14ac:dyDescent="0.3">
      <c r="B66" s="530"/>
      <c r="C66" s="531"/>
      <c r="D66" s="532"/>
    </row>
    <row r="67" spans="2:4" ht="15.6" x14ac:dyDescent="0.3">
      <c r="B67" s="530"/>
      <c r="C67" s="531"/>
      <c r="D67" s="532"/>
    </row>
    <row r="68" spans="2:4" ht="15.6" x14ac:dyDescent="0.3">
      <c r="B68" s="530"/>
      <c r="C68" s="531"/>
      <c r="D68" s="532"/>
    </row>
    <row r="69" spans="2:4" ht="15.6" x14ac:dyDescent="0.3">
      <c r="B69" s="530"/>
      <c r="C69" s="531"/>
      <c r="D69" s="532"/>
    </row>
    <row r="70" spans="2:4" ht="15.6" x14ac:dyDescent="0.3">
      <c r="B70" s="530"/>
      <c r="C70" s="531"/>
      <c r="D70" s="532"/>
    </row>
    <row r="71" spans="2:4" ht="15.6" x14ac:dyDescent="0.3">
      <c r="B71" s="533"/>
      <c r="C71" s="534"/>
      <c r="D71" s="516"/>
    </row>
    <row r="72" spans="2:4" ht="14.4" x14ac:dyDescent="0.3">
      <c r="B72" s="535"/>
      <c r="C72" s="536"/>
      <c r="D72" s="513"/>
    </row>
    <row r="73" spans="2:4" ht="15.6" x14ac:dyDescent="0.3">
      <c r="B73" s="537"/>
      <c r="C73" s="516"/>
      <c r="D73" s="532"/>
    </row>
    <row r="74" spans="2:4" ht="15.6" x14ac:dyDescent="0.3">
      <c r="B74" s="537"/>
      <c r="C74" s="516"/>
      <c r="D74" s="532"/>
    </row>
    <row r="76" spans="2:4" ht="15.6" x14ac:dyDescent="0.3">
      <c r="B76" s="537"/>
    </row>
  </sheetData>
  <mergeCells count="53">
    <mergeCell ref="B14:C14"/>
    <mergeCell ref="B15:C15"/>
    <mergeCell ref="B16:C16"/>
    <mergeCell ref="B17:C17"/>
    <mergeCell ref="A2:G2"/>
    <mergeCell ref="A3:G3"/>
    <mergeCell ref="B5:G5"/>
    <mergeCell ref="B6:G6"/>
    <mergeCell ref="B8:C8"/>
    <mergeCell ref="A8:A13"/>
    <mergeCell ref="B9:C9"/>
    <mergeCell ref="B10:C10"/>
    <mergeCell ref="B11:C11"/>
    <mergeCell ref="B12:C12"/>
    <mergeCell ref="B13:C13"/>
    <mergeCell ref="B28:C28"/>
    <mergeCell ref="B30:C30"/>
    <mergeCell ref="B31:C31"/>
    <mergeCell ref="B32:C32"/>
    <mergeCell ref="B33:C33"/>
    <mergeCell ref="B29:C29"/>
    <mergeCell ref="J28:K28"/>
    <mergeCell ref="J29:K29"/>
    <mergeCell ref="J30:K30"/>
    <mergeCell ref="J31:K31"/>
    <mergeCell ref="J32:K32"/>
    <mergeCell ref="J33:K33"/>
    <mergeCell ref="J34:L34"/>
    <mergeCell ref="J36:L36"/>
    <mergeCell ref="C48:C49"/>
    <mergeCell ref="D48:D49"/>
    <mergeCell ref="C46:C47"/>
    <mergeCell ref="D46:D47"/>
    <mergeCell ref="B34:F34"/>
    <mergeCell ref="B36:F36"/>
    <mergeCell ref="B41:B43"/>
    <mergeCell ref="B44:B45"/>
    <mergeCell ref="C44:C45"/>
    <mergeCell ref="D44:D45"/>
    <mergeCell ref="B57:B58"/>
    <mergeCell ref="C57:D58"/>
    <mergeCell ref="C41:C43"/>
    <mergeCell ref="D41:D43"/>
    <mergeCell ref="C55:D55"/>
    <mergeCell ref="C56:D56"/>
    <mergeCell ref="B50:B51"/>
    <mergeCell ref="C50:C51"/>
    <mergeCell ref="D50:D51"/>
    <mergeCell ref="B52:B53"/>
    <mergeCell ref="C52:C53"/>
    <mergeCell ref="D52:D53"/>
    <mergeCell ref="B46:B47"/>
    <mergeCell ref="B48:B49"/>
  </mergeCells>
  <pageMargins left="0.7" right="0.7" top="0.75" bottom="0.75" header="0.3" footer="0.3"/>
  <pageSetup paperSize="8" scale="91" orientation="landscape" r:id="rId1"/>
  <rowBreaks count="1" manualBreakCount="1">
    <brk id="37" max="16383" man="1"/>
  </rowBreaks>
  <colBreaks count="1" manualBreakCount="1">
    <brk id="9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5347-F1CE-4641-B15B-606B85C1CAE7}">
  <dimension ref="A1:D5"/>
  <sheetViews>
    <sheetView workbookViewId="0">
      <selection activeCell="A6" sqref="A6"/>
    </sheetView>
  </sheetViews>
  <sheetFormatPr defaultRowHeight="13.2" x14ac:dyDescent="0.25"/>
  <cols>
    <col min="1" max="1" width="47.88671875" customWidth="1"/>
    <col min="2" max="2" width="22.88671875" customWidth="1"/>
    <col min="3" max="3" width="15.88671875" customWidth="1"/>
    <col min="4" max="4" width="14" customWidth="1"/>
  </cols>
  <sheetData>
    <row r="1" spans="1:4" ht="15.6" x14ac:dyDescent="0.25">
      <c r="A1" s="883" t="s">
        <v>592</v>
      </c>
      <c r="B1" s="883"/>
      <c r="C1" s="883"/>
      <c r="D1" s="95" t="s">
        <v>376</v>
      </c>
    </row>
    <row r="2" spans="1:4" ht="17.399999999999999" x14ac:dyDescent="0.25">
      <c r="A2" s="486"/>
      <c r="B2" s="486"/>
      <c r="C2" s="486"/>
      <c r="D2" s="186"/>
    </row>
    <row r="3" spans="1:4" x14ac:dyDescent="0.25">
      <c r="A3" s="46"/>
      <c r="B3" s="46"/>
      <c r="C3" s="46"/>
      <c r="D3" s="46"/>
    </row>
    <row r="4" spans="1:4" ht="13.8" x14ac:dyDescent="0.25">
      <c r="A4" s="74"/>
      <c r="B4" s="74"/>
      <c r="C4" s="74"/>
      <c r="D4" s="75"/>
    </row>
    <row r="5" spans="1:4" ht="13.8" x14ac:dyDescent="0.25">
      <c r="A5" s="184" t="s">
        <v>1021</v>
      </c>
      <c r="B5" s="78"/>
      <c r="C5" s="78"/>
      <c r="D5" s="79"/>
    </row>
  </sheetData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  <pageSetUpPr fitToPage="1"/>
  </sheetPr>
  <dimension ref="A1:X508"/>
  <sheetViews>
    <sheetView view="pageBreakPreview" zoomScale="90" zoomScaleNormal="100" zoomScaleSheetLayoutView="90" workbookViewId="0">
      <selection activeCell="G3" sqref="G3"/>
    </sheetView>
  </sheetViews>
  <sheetFormatPr defaultColWidth="36.44140625" defaultRowHeight="13.2" x14ac:dyDescent="0.25"/>
  <cols>
    <col min="1" max="1" width="12" style="272" customWidth="1"/>
    <col min="2" max="2" width="18.109375" style="272" customWidth="1"/>
    <col min="3" max="3" width="27.88671875" style="272" customWidth="1"/>
    <col min="4" max="4" width="24.5546875" style="272" customWidth="1"/>
    <col min="5" max="5" width="17.33203125" style="200" customWidth="1"/>
    <col min="6" max="6" width="19" style="272" customWidth="1"/>
    <col min="7" max="7" width="18.33203125" style="272" customWidth="1"/>
    <col min="8" max="11" width="16.5546875" style="272" customWidth="1"/>
    <col min="12" max="12" width="52.88671875" style="272" customWidth="1"/>
    <col min="13" max="13" width="0.5546875" style="138" customWidth="1"/>
    <col min="14" max="14" width="15.33203125" style="138" customWidth="1"/>
    <col min="15" max="254" width="9.109375" style="138" customWidth="1"/>
    <col min="255" max="255" width="36.44140625" style="138"/>
    <col min="256" max="256" width="36.44140625" style="138" bestFit="1" customWidth="1"/>
    <col min="257" max="257" width="18.109375" style="138" customWidth="1"/>
    <col min="258" max="258" width="21.33203125" style="138" customWidth="1"/>
    <col min="259" max="259" width="19.33203125" style="138" customWidth="1"/>
    <col min="260" max="260" width="20.5546875" style="138" customWidth="1"/>
    <col min="261" max="261" width="17.88671875" style="138" customWidth="1"/>
    <col min="262" max="262" width="15.109375" style="138" customWidth="1"/>
    <col min="263" max="263" width="18.33203125" style="138" customWidth="1"/>
    <col min="264" max="264" width="16.5546875" style="138" customWidth="1"/>
    <col min="265" max="265" width="15.6640625" style="138" customWidth="1"/>
    <col min="266" max="267" width="15.88671875" style="138" customWidth="1"/>
    <col min="268" max="268" width="14.33203125" style="138" customWidth="1"/>
    <col min="269" max="269" width="13.6640625" style="138" customWidth="1"/>
    <col min="270" max="270" width="15.33203125" style="138" customWidth="1"/>
    <col min="271" max="510" width="9.109375" style="138" customWidth="1"/>
    <col min="511" max="511" width="36.44140625" style="138"/>
    <col min="512" max="512" width="36.44140625" style="138" bestFit="1" customWidth="1"/>
    <col min="513" max="513" width="18.109375" style="138" customWidth="1"/>
    <col min="514" max="514" width="21.33203125" style="138" customWidth="1"/>
    <col min="515" max="515" width="19.33203125" style="138" customWidth="1"/>
    <col min="516" max="516" width="20.5546875" style="138" customWidth="1"/>
    <col min="517" max="517" width="17.88671875" style="138" customWidth="1"/>
    <col min="518" max="518" width="15.109375" style="138" customWidth="1"/>
    <col min="519" max="519" width="18.33203125" style="138" customWidth="1"/>
    <col min="520" max="520" width="16.5546875" style="138" customWidth="1"/>
    <col min="521" max="521" width="15.6640625" style="138" customWidth="1"/>
    <col min="522" max="523" width="15.88671875" style="138" customWidth="1"/>
    <col min="524" max="524" width="14.33203125" style="138" customWidth="1"/>
    <col min="525" max="525" width="13.6640625" style="138" customWidth="1"/>
    <col min="526" max="526" width="15.33203125" style="138" customWidth="1"/>
    <col min="527" max="766" width="9.109375" style="138" customWidth="1"/>
    <col min="767" max="767" width="36.44140625" style="138"/>
    <col min="768" max="768" width="36.44140625" style="138" bestFit="1" customWidth="1"/>
    <col min="769" max="769" width="18.109375" style="138" customWidth="1"/>
    <col min="770" max="770" width="21.33203125" style="138" customWidth="1"/>
    <col min="771" max="771" width="19.33203125" style="138" customWidth="1"/>
    <col min="772" max="772" width="20.5546875" style="138" customWidth="1"/>
    <col min="773" max="773" width="17.88671875" style="138" customWidth="1"/>
    <col min="774" max="774" width="15.109375" style="138" customWidth="1"/>
    <col min="775" max="775" width="18.33203125" style="138" customWidth="1"/>
    <col min="776" max="776" width="16.5546875" style="138" customWidth="1"/>
    <col min="777" max="777" width="15.6640625" style="138" customWidth="1"/>
    <col min="778" max="779" width="15.88671875" style="138" customWidth="1"/>
    <col min="780" max="780" width="14.33203125" style="138" customWidth="1"/>
    <col min="781" max="781" width="13.6640625" style="138" customWidth="1"/>
    <col min="782" max="782" width="15.33203125" style="138" customWidth="1"/>
    <col min="783" max="1022" width="9.109375" style="138" customWidth="1"/>
    <col min="1023" max="1023" width="36.44140625" style="138"/>
    <col min="1024" max="1024" width="36.44140625" style="138" bestFit="1" customWidth="1"/>
    <col min="1025" max="1025" width="18.109375" style="138" customWidth="1"/>
    <col min="1026" max="1026" width="21.33203125" style="138" customWidth="1"/>
    <col min="1027" max="1027" width="19.33203125" style="138" customWidth="1"/>
    <col min="1028" max="1028" width="20.5546875" style="138" customWidth="1"/>
    <col min="1029" max="1029" width="17.88671875" style="138" customWidth="1"/>
    <col min="1030" max="1030" width="15.109375" style="138" customWidth="1"/>
    <col min="1031" max="1031" width="18.33203125" style="138" customWidth="1"/>
    <col min="1032" max="1032" width="16.5546875" style="138" customWidth="1"/>
    <col min="1033" max="1033" width="15.6640625" style="138" customWidth="1"/>
    <col min="1034" max="1035" width="15.88671875" style="138" customWidth="1"/>
    <col min="1036" max="1036" width="14.33203125" style="138" customWidth="1"/>
    <col min="1037" max="1037" width="13.6640625" style="138" customWidth="1"/>
    <col min="1038" max="1038" width="15.33203125" style="138" customWidth="1"/>
    <col min="1039" max="1278" width="9.109375" style="138" customWidth="1"/>
    <col min="1279" max="1279" width="36.44140625" style="138"/>
    <col min="1280" max="1280" width="36.44140625" style="138" bestFit="1" customWidth="1"/>
    <col min="1281" max="1281" width="18.109375" style="138" customWidth="1"/>
    <col min="1282" max="1282" width="21.33203125" style="138" customWidth="1"/>
    <col min="1283" max="1283" width="19.33203125" style="138" customWidth="1"/>
    <col min="1284" max="1284" width="20.5546875" style="138" customWidth="1"/>
    <col min="1285" max="1285" width="17.88671875" style="138" customWidth="1"/>
    <col min="1286" max="1286" width="15.109375" style="138" customWidth="1"/>
    <col min="1287" max="1287" width="18.33203125" style="138" customWidth="1"/>
    <col min="1288" max="1288" width="16.5546875" style="138" customWidth="1"/>
    <col min="1289" max="1289" width="15.6640625" style="138" customWidth="1"/>
    <col min="1290" max="1291" width="15.88671875" style="138" customWidth="1"/>
    <col min="1292" max="1292" width="14.33203125" style="138" customWidth="1"/>
    <col min="1293" max="1293" width="13.6640625" style="138" customWidth="1"/>
    <col min="1294" max="1294" width="15.33203125" style="138" customWidth="1"/>
    <col min="1295" max="1534" width="9.109375" style="138" customWidth="1"/>
    <col min="1535" max="1535" width="36.44140625" style="138"/>
    <col min="1536" max="1536" width="36.44140625" style="138" bestFit="1" customWidth="1"/>
    <col min="1537" max="1537" width="18.109375" style="138" customWidth="1"/>
    <col min="1538" max="1538" width="21.33203125" style="138" customWidth="1"/>
    <col min="1539" max="1539" width="19.33203125" style="138" customWidth="1"/>
    <col min="1540" max="1540" width="20.5546875" style="138" customWidth="1"/>
    <col min="1541" max="1541" width="17.88671875" style="138" customWidth="1"/>
    <col min="1542" max="1542" width="15.109375" style="138" customWidth="1"/>
    <col min="1543" max="1543" width="18.33203125" style="138" customWidth="1"/>
    <col min="1544" max="1544" width="16.5546875" style="138" customWidth="1"/>
    <col min="1545" max="1545" width="15.6640625" style="138" customWidth="1"/>
    <col min="1546" max="1547" width="15.88671875" style="138" customWidth="1"/>
    <col min="1548" max="1548" width="14.33203125" style="138" customWidth="1"/>
    <col min="1549" max="1549" width="13.6640625" style="138" customWidth="1"/>
    <col min="1550" max="1550" width="15.33203125" style="138" customWidth="1"/>
    <col min="1551" max="1790" width="9.109375" style="138" customWidth="1"/>
    <col min="1791" max="1791" width="36.44140625" style="138"/>
    <col min="1792" max="1792" width="36.44140625" style="138" bestFit="1" customWidth="1"/>
    <col min="1793" max="1793" width="18.109375" style="138" customWidth="1"/>
    <col min="1794" max="1794" width="21.33203125" style="138" customWidth="1"/>
    <col min="1795" max="1795" width="19.33203125" style="138" customWidth="1"/>
    <col min="1796" max="1796" width="20.5546875" style="138" customWidth="1"/>
    <col min="1797" max="1797" width="17.88671875" style="138" customWidth="1"/>
    <col min="1798" max="1798" width="15.109375" style="138" customWidth="1"/>
    <col min="1799" max="1799" width="18.33203125" style="138" customWidth="1"/>
    <col min="1800" max="1800" width="16.5546875" style="138" customWidth="1"/>
    <col min="1801" max="1801" width="15.6640625" style="138" customWidth="1"/>
    <col min="1802" max="1803" width="15.88671875" style="138" customWidth="1"/>
    <col min="1804" max="1804" width="14.33203125" style="138" customWidth="1"/>
    <col min="1805" max="1805" width="13.6640625" style="138" customWidth="1"/>
    <col min="1806" max="1806" width="15.33203125" style="138" customWidth="1"/>
    <col min="1807" max="2046" width="9.109375" style="138" customWidth="1"/>
    <col min="2047" max="2047" width="36.44140625" style="138"/>
    <col min="2048" max="2048" width="36.44140625" style="138" bestFit="1" customWidth="1"/>
    <col min="2049" max="2049" width="18.109375" style="138" customWidth="1"/>
    <col min="2050" max="2050" width="21.33203125" style="138" customWidth="1"/>
    <col min="2051" max="2051" width="19.33203125" style="138" customWidth="1"/>
    <col min="2052" max="2052" width="20.5546875" style="138" customWidth="1"/>
    <col min="2053" max="2053" width="17.88671875" style="138" customWidth="1"/>
    <col min="2054" max="2054" width="15.109375" style="138" customWidth="1"/>
    <col min="2055" max="2055" width="18.33203125" style="138" customWidth="1"/>
    <col min="2056" max="2056" width="16.5546875" style="138" customWidth="1"/>
    <col min="2057" max="2057" width="15.6640625" style="138" customWidth="1"/>
    <col min="2058" max="2059" width="15.88671875" style="138" customWidth="1"/>
    <col min="2060" max="2060" width="14.33203125" style="138" customWidth="1"/>
    <col min="2061" max="2061" width="13.6640625" style="138" customWidth="1"/>
    <col min="2062" max="2062" width="15.33203125" style="138" customWidth="1"/>
    <col min="2063" max="2302" width="9.109375" style="138" customWidth="1"/>
    <col min="2303" max="2303" width="36.44140625" style="138"/>
    <col min="2304" max="2304" width="36.44140625" style="138" bestFit="1" customWidth="1"/>
    <col min="2305" max="2305" width="18.109375" style="138" customWidth="1"/>
    <col min="2306" max="2306" width="21.33203125" style="138" customWidth="1"/>
    <col min="2307" max="2307" width="19.33203125" style="138" customWidth="1"/>
    <col min="2308" max="2308" width="20.5546875" style="138" customWidth="1"/>
    <col min="2309" max="2309" width="17.88671875" style="138" customWidth="1"/>
    <col min="2310" max="2310" width="15.109375" style="138" customWidth="1"/>
    <col min="2311" max="2311" width="18.33203125" style="138" customWidth="1"/>
    <col min="2312" max="2312" width="16.5546875" style="138" customWidth="1"/>
    <col min="2313" max="2313" width="15.6640625" style="138" customWidth="1"/>
    <col min="2314" max="2315" width="15.88671875" style="138" customWidth="1"/>
    <col min="2316" max="2316" width="14.33203125" style="138" customWidth="1"/>
    <col min="2317" max="2317" width="13.6640625" style="138" customWidth="1"/>
    <col min="2318" max="2318" width="15.33203125" style="138" customWidth="1"/>
    <col min="2319" max="2558" width="9.109375" style="138" customWidth="1"/>
    <col min="2559" max="2559" width="36.44140625" style="138"/>
    <col min="2560" max="2560" width="36.44140625" style="138" bestFit="1" customWidth="1"/>
    <col min="2561" max="2561" width="18.109375" style="138" customWidth="1"/>
    <col min="2562" max="2562" width="21.33203125" style="138" customWidth="1"/>
    <col min="2563" max="2563" width="19.33203125" style="138" customWidth="1"/>
    <col min="2564" max="2564" width="20.5546875" style="138" customWidth="1"/>
    <col min="2565" max="2565" width="17.88671875" style="138" customWidth="1"/>
    <col min="2566" max="2566" width="15.109375" style="138" customWidth="1"/>
    <col min="2567" max="2567" width="18.33203125" style="138" customWidth="1"/>
    <col min="2568" max="2568" width="16.5546875" style="138" customWidth="1"/>
    <col min="2569" max="2569" width="15.6640625" style="138" customWidth="1"/>
    <col min="2570" max="2571" width="15.88671875" style="138" customWidth="1"/>
    <col min="2572" max="2572" width="14.33203125" style="138" customWidth="1"/>
    <col min="2573" max="2573" width="13.6640625" style="138" customWidth="1"/>
    <col min="2574" max="2574" width="15.33203125" style="138" customWidth="1"/>
    <col min="2575" max="2814" width="9.109375" style="138" customWidth="1"/>
    <col min="2815" max="2815" width="36.44140625" style="138"/>
    <col min="2816" max="2816" width="36.44140625" style="138" bestFit="1" customWidth="1"/>
    <col min="2817" max="2817" width="18.109375" style="138" customWidth="1"/>
    <col min="2818" max="2818" width="21.33203125" style="138" customWidth="1"/>
    <col min="2819" max="2819" width="19.33203125" style="138" customWidth="1"/>
    <col min="2820" max="2820" width="20.5546875" style="138" customWidth="1"/>
    <col min="2821" max="2821" width="17.88671875" style="138" customWidth="1"/>
    <col min="2822" max="2822" width="15.109375" style="138" customWidth="1"/>
    <col min="2823" max="2823" width="18.33203125" style="138" customWidth="1"/>
    <col min="2824" max="2824" width="16.5546875" style="138" customWidth="1"/>
    <col min="2825" max="2825" width="15.6640625" style="138" customWidth="1"/>
    <col min="2826" max="2827" width="15.88671875" style="138" customWidth="1"/>
    <col min="2828" max="2828" width="14.33203125" style="138" customWidth="1"/>
    <col min="2829" max="2829" width="13.6640625" style="138" customWidth="1"/>
    <col min="2830" max="2830" width="15.33203125" style="138" customWidth="1"/>
    <col min="2831" max="3070" width="9.109375" style="138" customWidth="1"/>
    <col min="3071" max="3071" width="36.44140625" style="138"/>
    <col min="3072" max="3072" width="36.44140625" style="138" bestFit="1" customWidth="1"/>
    <col min="3073" max="3073" width="18.109375" style="138" customWidth="1"/>
    <col min="3074" max="3074" width="21.33203125" style="138" customWidth="1"/>
    <col min="3075" max="3075" width="19.33203125" style="138" customWidth="1"/>
    <col min="3076" max="3076" width="20.5546875" style="138" customWidth="1"/>
    <col min="3077" max="3077" width="17.88671875" style="138" customWidth="1"/>
    <col min="3078" max="3078" width="15.109375" style="138" customWidth="1"/>
    <col min="3079" max="3079" width="18.33203125" style="138" customWidth="1"/>
    <col min="3080" max="3080" width="16.5546875" style="138" customWidth="1"/>
    <col min="3081" max="3081" width="15.6640625" style="138" customWidth="1"/>
    <col min="3082" max="3083" width="15.88671875" style="138" customWidth="1"/>
    <col min="3084" max="3084" width="14.33203125" style="138" customWidth="1"/>
    <col min="3085" max="3085" width="13.6640625" style="138" customWidth="1"/>
    <col min="3086" max="3086" width="15.33203125" style="138" customWidth="1"/>
    <col min="3087" max="3326" width="9.109375" style="138" customWidth="1"/>
    <col min="3327" max="3327" width="36.44140625" style="138"/>
    <col min="3328" max="3328" width="36.44140625" style="138" bestFit="1" customWidth="1"/>
    <col min="3329" max="3329" width="18.109375" style="138" customWidth="1"/>
    <col min="3330" max="3330" width="21.33203125" style="138" customWidth="1"/>
    <col min="3331" max="3331" width="19.33203125" style="138" customWidth="1"/>
    <col min="3332" max="3332" width="20.5546875" style="138" customWidth="1"/>
    <col min="3333" max="3333" width="17.88671875" style="138" customWidth="1"/>
    <col min="3334" max="3334" width="15.109375" style="138" customWidth="1"/>
    <col min="3335" max="3335" width="18.33203125" style="138" customWidth="1"/>
    <col min="3336" max="3336" width="16.5546875" style="138" customWidth="1"/>
    <col min="3337" max="3337" width="15.6640625" style="138" customWidth="1"/>
    <col min="3338" max="3339" width="15.88671875" style="138" customWidth="1"/>
    <col min="3340" max="3340" width="14.33203125" style="138" customWidth="1"/>
    <col min="3341" max="3341" width="13.6640625" style="138" customWidth="1"/>
    <col min="3342" max="3342" width="15.33203125" style="138" customWidth="1"/>
    <col min="3343" max="3582" width="9.109375" style="138" customWidth="1"/>
    <col min="3583" max="3583" width="36.44140625" style="138"/>
    <col min="3584" max="3584" width="36.44140625" style="138" bestFit="1" customWidth="1"/>
    <col min="3585" max="3585" width="18.109375" style="138" customWidth="1"/>
    <col min="3586" max="3586" width="21.33203125" style="138" customWidth="1"/>
    <col min="3587" max="3587" width="19.33203125" style="138" customWidth="1"/>
    <col min="3588" max="3588" width="20.5546875" style="138" customWidth="1"/>
    <col min="3589" max="3589" width="17.88671875" style="138" customWidth="1"/>
    <col min="3590" max="3590" width="15.109375" style="138" customWidth="1"/>
    <col min="3591" max="3591" width="18.33203125" style="138" customWidth="1"/>
    <col min="3592" max="3592" width="16.5546875" style="138" customWidth="1"/>
    <col min="3593" max="3593" width="15.6640625" style="138" customWidth="1"/>
    <col min="3594" max="3595" width="15.88671875" style="138" customWidth="1"/>
    <col min="3596" max="3596" width="14.33203125" style="138" customWidth="1"/>
    <col min="3597" max="3597" width="13.6640625" style="138" customWidth="1"/>
    <col min="3598" max="3598" width="15.33203125" style="138" customWidth="1"/>
    <col min="3599" max="3838" width="9.109375" style="138" customWidth="1"/>
    <col min="3839" max="3839" width="36.44140625" style="138"/>
    <col min="3840" max="3840" width="36.44140625" style="138" bestFit="1" customWidth="1"/>
    <col min="3841" max="3841" width="18.109375" style="138" customWidth="1"/>
    <col min="3842" max="3842" width="21.33203125" style="138" customWidth="1"/>
    <col min="3843" max="3843" width="19.33203125" style="138" customWidth="1"/>
    <col min="3844" max="3844" width="20.5546875" style="138" customWidth="1"/>
    <col min="3845" max="3845" width="17.88671875" style="138" customWidth="1"/>
    <col min="3846" max="3846" width="15.109375" style="138" customWidth="1"/>
    <col min="3847" max="3847" width="18.33203125" style="138" customWidth="1"/>
    <col min="3848" max="3848" width="16.5546875" style="138" customWidth="1"/>
    <col min="3849" max="3849" width="15.6640625" style="138" customWidth="1"/>
    <col min="3850" max="3851" width="15.88671875" style="138" customWidth="1"/>
    <col min="3852" max="3852" width="14.33203125" style="138" customWidth="1"/>
    <col min="3853" max="3853" width="13.6640625" style="138" customWidth="1"/>
    <col min="3854" max="3854" width="15.33203125" style="138" customWidth="1"/>
    <col min="3855" max="4094" width="9.109375" style="138" customWidth="1"/>
    <col min="4095" max="4095" width="36.44140625" style="138"/>
    <col min="4096" max="4096" width="36.44140625" style="138" bestFit="1" customWidth="1"/>
    <col min="4097" max="4097" width="18.109375" style="138" customWidth="1"/>
    <col min="4098" max="4098" width="21.33203125" style="138" customWidth="1"/>
    <col min="4099" max="4099" width="19.33203125" style="138" customWidth="1"/>
    <col min="4100" max="4100" width="20.5546875" style="138" customWidth="1"/>
    <col min="4101" max="4101" width="17.88671875" style="138" customWidth="1"/>
    <col min="4102" max="4102" width="15.109375" style="138" customWidth="1"/>
    <col min="4103" max="4103" width="18.33203125" style="138" customWidth="1"/>
    <col min="4104" max="4104" width="16.5546875" style="138" customWidth="1"/>
    <col min="4105" max="4105" width="15.6640625" style="138" customWidth="1"/>
    <col min="4106" max="4107" width="15.88671875" style="138" customWidth="1"/>
    <col min="4108" max="4108" width="14.33203125" style="138" customWidth="1"/>
    <col min="4109" max="4109" width="13.6640625" style="138" customWidth="1"/>
    <col min="4110" max="4110" width="15.33203125" style="138" customWidth="1"/>
    <col min="4111" max="4350" width="9.109375" style="138" customWidth="1"/>
    <col min="4351" max="4351" width="36.44140625" style="138"/>
    <col min="4352" max="4352" width="36.44140625" style="138" bestFit="1" customWidth="1"/>
    <col min="4353" max="4353" width="18.109375" style="138" customWidth="1"/>
    <col min="4354" max="4354" width="21.33203125" style="138" customWidth="1"/>
    <col min="4355" max="4355" width="19.33203125" style="138" customWidth="1"/>
    <col min="4356" max="4356" width="20.5546875" style="138" customWidth="1"/>
    <col min="4357" max="4357" width="17.88671875" style="138" customWidth="1"/>
    <col min="4358" max="4358" width="15.109375" style="138" customWidth="1"/>
    <col min="4359" max="4359" width="18.33203125" style="138" customWidth="1"/>
    <col min="4360" max="4360" width="16.5546875" style="138" customWidth="1"/>
    <col min="4361" max="4361" width="15.6640625" style="138" customWidth="1"/>
    <col min="4362" max="4363" width="15.88671875" style="138" customWidth="1"/>
    <col min="4364" max="4364" width="14.33203125" style="138" customWidth="1"/>
    <col min="4365" max="4365" width="13.6640625" style="138" customWidth="1"/>
    <col min="4366" max="4366" width="15.33203125" style="138" customWidth="1"/>
    <col min="4367" max="4606" width="9.109375" style="138" customWidth="1"/>
    <col min="4607" max="4607" width="36.44140625" style="138"/>
    <col min="4608" max="4608" width="36.44140625" style="138" bestFit="1" customWidth="1"/>
    <col min="4609" max="4609" width="18.109375" style="138" customWidth="1"/>
    <col min="4610" max="4610" width="21.33203125" style="138" customWidth="1"/>
    <col min="4611" max="4611" width="19.33203125" style="138" customWidth="1"/>
    <col min="4612" max="4612" width="20.5546875" style="138" customWidth="1"/>
    <col min="4613" max="4613" width="17.88671875" style="138" customWidth="1"/>
    <col min="4614" max="4614" width="15.109375" style="138" customWidth="1"/>
    <col min="4615" max="4615" width="18.33203125" style="138" customWidth="1"/>
    <col min="4616" max="4616" width="16.5546875" style="138" customWidth="1"/>
    <col min="4617" max="4617" width="15.6640625" style="138" customWidth="1"/>
    <col min="4618" max="4619" width="15.88671875" style="138" customWidth="1"/>
    <col min="4620" max="4620" width="14.33203125" style="138" customWidth="1"/>
    <col min="4621" max="4621" width="13.6640625" style="138" customWidth="1"/>
    <col min="4622" max="4622" width="15.33203125" style="138" customWidth="1"/>
    <col min="4623" max="4862" width="9.109375" style="138" customWidth="1"/>
    <col min="4863" max="4863" width="36.44140625" style="138"/>
    <col min="4864" max="4864" width="36.44140625" style="138" bestFit="1" customWidth="1"/>
    <col min="4865" max="4865" width="18.109375" style="138" customWidth="1"/>
    <col min="4866" max="4866" width="21.33203125" style="138" customWidth="1"/>
    <col min="4867" max="4867" width="19.33203125" style="138" customWidth="1"/>
    <col min="4868" max="4868" width="20.5546875" style="138" customWidth="1"/>
    <col min="4869" max="4869" width="17.88671875" style="138" customWidth="1"/>
    <col min="4870" max="4870" width="15.109375" style="138" customWidth="1"/>
    <col min="4871" max="4871" width="18.33203125" style="138" customWidth="1"/>
    <col min="4872" max="4872" width="16.5546875" style="138" customWidth="1"/>
    <col min="4873" max="4873" width="15.6640625" style="138" customWidth="1"/>
    <col min="4874" max="4875" width="15.88671875" style="138" customWidth="1"/>
    <col min="4876" max="4876" width="14.33203125" style="138" customWidth="1"/>
    <col min="4877" max="4877" width="13.6640625" style="138" customWidth="1"/>
    <col min="4878" max="4878" width="15.33203125" style="138" customWidth="1"/>
    <col min="4879" max="5118" width="9.109375" style="138" customWidth="1"/>
    <col min="5119" max="5119" width="36.44140625" style="138"/>
    <col min="5120" max="5120" width="36.44140625" style="138" bestFit="1" customWidth="1"/>
    <col min="5121" max="5121" width="18.109375" style="138" customWidth="1"/>
    <col min="5122" max="5122" width="21.33203125" style="138" customWidth="1"/>
    <col min="5123" max="5123" width="19.33203125" style="138" customWidth="1"/>
    <col min="5124" max="5124" width="20.5546875" style="138" customWidth="1"/>
    <col min="5125" max="5125" width="17.88671875" style="138" customWidth="1"/>
    <col min="5126" max="5126" width="15.109375" style="138" customWidth="1"/>
    <col min="5127" max="5127" width="18.33203125" style="138" customWidth="1"/>
    <col min="5128" max="5128" width="16.5546875" style="138" customWidth="1"/>
    <col min="5129" max="5129" width="15.6640625" style="138" customWidth="1"/>
    <col min="5130" max="5131" width="15.88671875" style="138" customWidth="1"/>
    <col min="5132" max="5132" width="14.33203125" style="138" customWidth="1"/>
    <col min="5133" max="5133" width="13.6640625" style="138" customWidth="1"/>
    <col min="5134" max="5134" width="15.33203125" style="138" customWidth="1"/>
    <col min="5135" max="5374" width="9.109375" style="138" customWidth="1"/>
    <col min="5375" max="5375" width="36.44140625" style="138"/>
    <col min="5376" max="5376" width="36.44140625" style="138" bestFit="1" customWidth="1"/>
    <col min="5377" max="5377" width="18.109375" style="138" customWidth="1"/>
    <col min="5378" max="5378" width="21.33203125" style="138" customWidth="1"/>
    <col min="5379" max="5379" width="19.33203125" style="138" customWidth="1"/>
    <col min="5380" max="5380" width="20.5546875" style="138" customWidth="1"/>
    <col min="5381" max="5381" width="17.88671875" style="138" customWidth="1"/>
    <col min="5382" max="5382" width="15.109375" style="138" customWidth="1"/>
    <col min="5383" max="5383" width="18.33203125" style="138" customWidth="1"/>
    <col min="5384" max="5384" width="16.5546875" style="138" customWidth="1"/>
    <col min="5385" max="5385" width="15.6640625" style="138" customWidth="1"/>
    <col min="5386" max="5387" width="15.88671875" style="138" customWidth="1"/>
    <col min="5388" max="5388" width="14.33203125" style="138" customWidth="1"/>
    <col min="5389" max="5389" width="13.6640625" style="138" customWidth="1"/>
    <col min="5390" max="5390" width="15.33203125" style="138" customWidth="1"/>
    <col min="5391" max="5630" width="9.109375" style="138" customWidth="1"/>
    <col min="5631" max="5631" width="36.44140625" style="138"/>
    <col min="5632" max="5632" width="36.44140625" style="138" bestFit="1" customWidth="1"/>
    <col min="5633" max="5633" width="18.109375" style="138" customWidth="1"/>
    <col min="5634" max="5634" width="21.33203125" style="138" customWidth="1"/>
    <col min="5635" max="5635" width="19.33203125" style="138" customWidth="1"/>
    <col min="5636" max="5636" width="20.5546875" style="138" customWidth="1"/>
    <col min="5637" max="5637" width="17.88671875" style="138" customWidth="1"/>
    <col min="5638" max="5638" width="15.109375" style="138" customWidth="1"/>
    <col min="5639" max="5639" width="18.33203125" style="138" customWidth="1"/>
    <col min="5640" max="5640" width="16.5546875" style="138" customWidth="1"/>
    <col min="5641" max="5641" width="15.6640625" style="138" customWidth="1"/>
    <col min="5642" max="5643" width="15.88671875" style="138" customWidth="1"/>
    <col min="5644" max="5644" width="14.33203125" style="138" customWidth="1"/>
    <col min="5645" max="5645" width="13.6640625" style="138" customWidth="1"/>
    <col min="5646" max="5646" width="15.33203125" style="138" customWidth="1"/>
    <col min="5647" max="5886" width="9.109375" style="138" customWidth="1"/>
    <col min="5887" max="5887" width="36.44140625" style="138"/>
    <col min="5888" max="5888" width="36.44140625" style="138" bestFit="1" customWidth="1"/>
    <col min="5889" max="5889" width="18.109375" style="138" customWidth="1"/>
    <col min="5890" max="5890" width="21.33203125" style="138" customWidth="1"/>
    <col min="5891" max="5891" width="19.33203125" style="138" customWidth="1"/>
    <col min="5892" max="5892" width="20.5546875" style="138" customWidth="1"/>
    <col min="5893" max="5893" width="17.88671875" style="138" customWidth="1"/>
    <col min="5894" max="5894" width="15.109375" style="138" customWidth="1"/>
    <col min="5895" max="5895" width="18.33203125" style="138" customWidth="1"/>
    <col min="5896" max="5896" width="16.5546875" style="138" customWidth="1"/>
    <col min="5897" max="5897" width="15.6640625" style="138" customWidth="1"/>
    <col min="5898" max="5899" width="15.88671875" style="138" customWidth="1"/>
    <col min="5900" max="5900" width="14.33203125" style="138" customWidth="1"/>
    <col min="5901" max="5901" width="13.6640625" style="138" customWidth="1"/>
    <col min="5902" max="5902" width="15.33203125" style="138" customWidth="1"/>
    <col min="5903" max="6142" width="9.109375" style="138" customWidth="1"/>
    <col min="6143" max="6143" width="36.44140625" style="138"/>
    <col min="6144" max="6144" width="36.44140625" style="138" bestFit="1" customWidth="1"/>
    <col min="6145" max="6145" width="18.109375" style="138" customWidth="1"/>
    <col min="6146" max="6146" width="21.33203125" style="138" customWidth="1"/>
    <col min="6147" max="6147" width="19.33203125" style="138" customWidth="1"/>
    <col min="6148" max="6148" width="20.5546875" style="138" customWidth="1"/>
    <col min="6149" max="6149" width="17.88671875" style="138" customWidth="1"/>
    <col min="6150" max="6150" width="15.109375" style="138" customWidth="1"/>
    <col min="6151" max="6151" width="18.33203125" style="138" customWidth="1"/>
    <col min="6152" max="6152" width="16.5546875" style="138" customWidth="1"/>
    <col min="6153" max="6153" width="15.6640625" style="138" customWidth="1"/>
    <col min="6154" max="6155" width="15.88671875" style="138" customWidth="1"/>
    <col min="6156" max="6156" width="14.33203125" style="138" customWidth="1"/>
    <col min="6157" max="6157" width="13.6640625" style="138" customWidth="1"/>
    <col min="6158" max="6158" width="15.33203125" style="138" customWidth="1"/>
    <col min="6159" max="6398" width="9.109375" style="138" customWidth="1"/>
    <col min="6399" max="6399" width="36.44140625" style="138"/>
    <col min="6400" max="6400" width="36.44140625" style="138" bestFit="1" customWidth="1"/>
    <col min="6401" max="6401" width="18.109375" style="138" customWidth="1"/>
    <col min="6402" max="6402" width="21.33203125" style="138" customWidth="1"/>
    <col min="6403" max="6403" width="19.33203125" style="138" customWidth="1"/>
    <col min="6404" max="6404" width="20.5546875" style="138" customWidth="1"/>
    <col min="6405" max="6405" width="17.88671875" style="138" customWidth="1"/>
    <col min="6406" max="6406" width="15.109375" style="138" customWidth="1"/>
    <col min="6407" max="6407" width="18.33203125" style="138" customWidth="1"/>
    <col min="6408" max="6408" width="16.5546875" style="138" customWidth="1"/>
    <col min="6409" max="6409" width="15.6640625" style="138" customWidth="1"/>
    <col min="6410" max="6411" width="15.88671875" style="138" customWidth="1"/>
    <col min="6412" max="6412" width="14.33203125" style="138" customWidth="1"/>
    <col min="6413" max="6413" width="13.6640625" style="138" customWidth="1"/>
    <col min="6414" max="6414" width="15.33203125" style="138" customWidth="1"/>
    <col min="6415" max="6654" width="9.109375" style="138" customWidth="1"/>
    <col min="6655" max="6655" width="36.44140625" style="138"/>
    <col min="6656" max="6656" width="36.44140625" style="138" bestFit="1" customWidth="1"/>
    <col min="6657" max="6657" width="18.109375" style="138" customWidth="1"/>
    <col min="6658" max="6658" width="21.33203125" style="138" customWidth="1"/>
    <col min="6659" max="6659" width="19.33203125" style="138" customWidth="1"/>
    <col min="6660" max="6660" width="20.5546875" style="138" customWidth="1"/>
    <col min="6661" max="6661" width="17.88671875" style="138" customWidth="1"/>
    <col min="6662" max="6662" width="15.109375" style="138" customWidth="1"/>
    <col min="6663" max="6663" width="18.33203125" style="138" customWidth="1"/>
    <col min="6664" max="6664" width="16.5546875" style="138" customWidth="1"/>
    <col min="6665" max="6665" width="15.6640625" style="138" customWidth="1"/>
    <col min="6666" max="6667" width="15.88671875" style="138" customWidth="1"/>
    <col min="6668" max="6668" width="14.33203125" style="138" customWidth="1"/>
    <col min="6669" max="6669" width="13.6640625" style="138" customWidth="1"/>
    <col min="6670" max="6670" width="15.33203125" style="138" customWidth="1"/>
    <col min="6671" max="6910" width="9.109375" style="138" customWidth="1"/>
    <col min="6911" max="6911" width="36.44140625" style="138"/>
    <col min="6912" max="6912" width="36.44140625" style="138" bestFit="1" customWidth="1"/>
    <col min="6913" max="6913" width="18.109375" style="138" customWidth="1"/>
    <col min="6914" max="6914" width="21.33203125" style="138" customWidth="1"/>
    <col min="6915" max="6915" width="19.33203125" style="138" customWidth="1"/>
    <col min="6916" max="6916" width="20.5546875" style="138" customWidth="1"/>
    <col min="6917" max="6917" width="17.88671875" style="138" customWidth="1"/>
    <col min="6918" max="6918" width="15.109375" style="138" customWidth="1"/>
    <col min="6919" max="6919" width="18.33203125" style="138" customWidth="1"/>
    <col min="6920" max="6920" width="16.5546875" style="138" customWidth="1"/>
    <col min="6921" max="6921" width="15.6640625" style="138" customWidth="1"/>
    <col min="6922" max="6923" width="15.88671875" style="138" customWidth="1"/>
    <col min="6924" max="6924" width="14.33203125" style="138" customWidth="1"/>
    <col min="6925" max="6925" width="13.6640625" style="138" customWidth="1"/>
    <col min="6926" max="6926" width="15.33203125" style="138" customWidth="1"/>
    <col min="6927" max="7166" width="9.109375" style="138" customWidth="1"/>
    <col min="7167" max="7167" width="36.44140625" style="138"/>
    <col min="7168" max="7168" width="36.44140625" style="138" bestFit="1" customWidth="1"/>
    <col min="7169" max="7169" width="18.109375" style="138" customWidth="1"/>
    <col min="7170" max="7170" width="21.33203125" style="138" customWidth="1"/>
    <col min="7171" max="7171" width="19.33203125" style="138" customWidth="1"/>
    <col min="7172" max="7172" width="20.5546875" style="138" customWidth="1"/>
    <col min="7173" max="7173" width="17.88671875" style="138" customWidth="1"/>
    <col min="7174" max="7174" width="15.109375" style="138" customWidth="1"/>
    <col min="7175" max="7175" width="18.33203125" style="138" customWidth="1"/>
    <col min="7176" max="7176" width="16.5546875" style="138" customWidth="1"/>
    <col min="7177" max="7177" width="15.6640625" style="138" customWidth="1"/>
    <col min="7178" max="7179" width="15.88671875" style="138" customWidth="1"/>
    <col min="7180" max="7180" width="14.33203125" style="138" customWidth="1"/>
    <col min="7181" max="7181" width="13.6640625" style="138" customWidth="1"/>
    <col min="7182" max="7182" width="15.33203125" style="138" customWidth="1"/>
    <col min="7183" max="7422" width="9.109375" style="138" customWidth="1"/>
    <col min="7423" max="7423" width="36.44140625" style="138"/>
    <col min="7424" max="7424" width="36.44140625" style="138" bestFit="1" customWidth="1"/>
    <col min="7425" max="7425" width="18.109375" style="138" customWidth="1"/>
    <col min="7426" max="7426" width="21.33203125" style="138" customWidth="1"/>
    <col min="7427" max="7427" width="19.33203125" style="138" customWidth="1"/>
    <col min="7428" max="7428" width="20.5546875" style="138" customWidth="1"/>
    <col min="7429" max="7429" width="17.88671875" style="138" customWidth="1"/>
    <col min="7430" max="7430" width="15.109375" style="138" customWidth="1"/>
    <col min="7431" max="7431" width="18.33203125" style="138" customWidth="1"/>
    <col min="7432" max="7432" width="16.5546875" style="138" customWidth="1"/>
    <col min="7433" max="7433" width="15.6640625" style="138" customWidth="1"/>
    <col min="7434" max="7435" width="15.88671875" style="138" customWidth="1"/>
    <col min="7436" max="7436" width="14.33203125" style="138" customWidth="1"/>
    <col min="7437" max="7437" width="13.6640625" style="138" customWidth="1"/>
    <col min="7438" max="7438" width="15.33203125" style="138" customWidth="1"/>
    <col min="7439" max="7678" width="9.109375" style="138" customWidth="1"/>
    <col min="7679" max="7679" width="36.44140625" style="138"/>
    <col min="7680" max="7680" width="36.44140625" style="138" bestFit="1" customWidth="1"/>
    <col min="7681" max="7681" width="18.109375" style="138" customWidth="1"/>
    <col min="7682" max="7682" width="21.33203125" style="138" customWidth="1"/>
    <col min="7683" max="7683" width="19.33203125" style="138" customWidth="1"/>
    <col min="7684" max="7684" width="20.5546875" style="138" customWidth="1"/>
    <col min="7685" max="7685" width="17.88671875" style="138" customWidth="1"/>
    <col min="7686" max="7686" width="15.109375" style="138" customWidth="1"/>
    <col min="7687" max="7687" width="18.33203125" style="138" customWidth="1"/>
    <col min="7688" max="7688" width="16.5546875" style="138" customWidth="1"/>
    <col min="7689" max="7689" width="15.6640625" style="138" customWidth="1"/>
    <col min="7690" max="7691" width="15.88671875" style="138" customWidth="1"/>
    <col min="7692" max="7692" width="14.33203125" style="138" customWidth="1"/>
    <col min="7693" max="7693" width="13.6640625" style="138" customWidth="1"/>
    <col min="7694" max="7694" width="15.33203125" style="138" customWidth="1"/>
    <col min="7695" max="7934" width="9.109375" style="138" customWidth="1"/>
    <col min="7935" max="7935" width="36.44140625" style="138"/>
    <col min="7936" max="7936" width="36.44140625" style="138" bestFit="1" customWidth="1"/>
    <col min="7937" max="7937" width="18.109375" style="138" customWidth="1"/>
    <col min="7938" max="7938" width="21.33203125" style="138" customWidth="1"/>
    <col min="7939" max="7939" width="19.33203125" style="138" customWidth="1"/>
    <col min="7940" max="7940" width="20.5546875" style="138" customWidth="1"/>
    <col min="7941" max="7941" width="17.88671875" style="138" customWidth="1"/>
    <col min="7942" max="7942" width="15.109375" style="138" customWidth="1"/>
    <col min="7943" max="7943" width="18.33203125" style="138" customWidth="1"/>
    <col min="7944" max="7944" width="16.5546875" style="138" customWidth="1"/>
    <col min="7945" max="7945" width="15.6640625" style="138" customWidth="1"/>
    <col min="7946" max="7947" width="15.88671875" style="138" customWidth="1"/>
    <col min="7948" max="7948" width="14.33203125" style="138" customWidth="1"/>
    <col min="7949" max="7949" width="13.6640625" style="138" customWidth="1"/>
    <col min="7950" max="7950" width="15.33203125" style="138" customWidth="1"/>
    <col min="7951" max="8190" width="9.109375" style="138" customWidth="1"/>
    <col min="8191" max="8191" width="36.44140625" style="138"/>
    <col min="8192" max="8192" width="36.44140625" style="138" bestFit="1" customWidth="1"/>
    <col min="8193" max="8193" width="18.109375" style="138" customWidth="1"/>
    <col min="8194" max="8194" width="21.33203125" style="138" customWidth="1"/>
    <col min="8195" max="8195" width="19.33203125" style="138" customWidth="1"/>
    <col min="8196" max="8196" width="20.5546875" style="138" customWidth="1"/>
    <col min="8197" max="8197" width="17.88671875" style="138" customWidth="1"/>
    <col min="8198" max="8198" width="15.109375" style="138" customWidth="1"/>
    <col min="8199" max="8199" width="18.33203125" style="138" customWidth="1"/>
    <col min="8200" max="8200" width="16.5546875" style="138" customWidth="1"/>
    <col min="8201" max="8201" width="15.6640625" style="138" customWidth="1"/>
    <col min="8202" max="8203" width="15.88671875" style="138" customWidth="1"/>
    <col min="8204" max="8204" width="14.33203125" style="138" customWidth="1"/>
    <col min="8205" max="8205" width="13.6640625" style="138" customWidth="1"/>
    <col min="8206" max="8206" width="15.33203125" style="138" customWidth="1"/>
    <col min="8207" max="8446" width="9.109375" style="138" customWidth="1"/>
    <col min="8447" max="8447" width="36.44140625" style="138"/>
    <col min="8448" max="8448" width="36.44140625" style="138" bestFit="1" customWidth="1"/>
    <col min="8449" max="8449" width="18.109375" style="138" customWidth="1"/>
    <col min="8450" max="8450" width="21.33203125" style="138" customWidth="1"/>
    <col min="8451" max="8451" width="19.33203125" style="138" customWidth="1"/>
    <col min="8452" max="8452" width="20.5546875" style="138" customWidth="1"/>
    <col min="8453" max="8453" width="17.88671875" style="138" customWidth="1"/>
    <col min="8454" max="8454" width="15.109375" style="138" customWidth="1"/>
    <col min="8455" max="8455" width="18.33203125" style="138" customWidth="1"/>
    <col min="8456" max="8456" width="16.5546875" style="138" customWidth="1"/>
    <col min="8457" max="8457" width="15.6640625" style="138" customWidth="1"/>
    <col min="8458" max="8459" width="15.88671875" style="138" customWidth="1"/>
    <col min="8460" max="8460" width="14.33203125" style="138" customWidth="1"/>
    <col min="8461" max="8461" width="13.6640625" style="138" customWidth="1"/>
    <col min="8462" max="8462" width="15.33203125" style="138" customWidth="1"/>
    <col min="8463" max="8702" width="9.109375" style="138" customWidth="1"/>
    <col min="8703" max="8703" width="36.44140625" style="138"/>
    <col min="8704" max="8704" width="36.44140625" style="138" bestFit="1" customWidth="1"/>
    <col min="8705" max="8705" width="18.109375" style="138" customWidth="1"/>
    <col min="8706" max="8706" width="21.33203125" style="138" customWidth="1"/>
    <col min="8707" max="8707" width="19.33203125" style="138" customWidth="1"/>
    <col min="8708" max="8708" width="20.5546875" style="138" customWidth="1"/>
    <col min="8709" max="8709" width="17.88671875" style="138" customWidth="1"/>
    <col min="8710" max="8710" width="15.109375" style="138" customWidth="1"/>
    <col min="8711" max="8711" width="18.33203125" style="138" customWidth="1"/>
    <col min="8712" max="8712" width="16.5546875" style="138" customWidth="1"/>
    <col min="8713" max="8713" width="15.6640625" style="138" customWidth="1"/>
    <col min="8714" max="8715" width="15.88671875" style="138" customWidth="1"/>
    <col min="8716" max="8716" width="14.33203125" style="138" customWidth="1"/>
    <col min="8717" max="8717" width="13.6640625" style="138" customWidth="1"/>
    <col min="8718" max="8718" width="15.33203125" style="138" customWidth="1"/>
    <col min="8719" max="8958" width="9.109375" style="138" customWidth="1"/>
    <col min="8959" max="8959" width="36.44140625" style="138"/>
    <col min="8960" max="8960" width="36.44140625" style="138" bestFit="1" customWidth="1"/>
    <col min="8961" max="8961" width="18.109375" style="138" customWidth="1"/>
    <col min="8962" max="8962" width="21.33203125" style="138" customWidth="1"/>
    <col min="8963" max="8963" width="19.33203125" style="138" customWidth="1"/>
    <col min="8964" max="8964" width="20.5546875" style="138" customWidth="1"/>
    <col min="8965" max="8965" width="17.88671875" style="138" customWidth="1"/>
    <col min="8966" max="8966" width="15.109375" style="138" customWidth="1"/>
    <col min="8967" max="8967" width="18.33203125" style="138" customWidth="1"/>
    <col min="8968" max="8968" width="16.5546875" style="138" customWidth="1"/>
    <col min="8969" max="8969" width="15.6640625" style="138" customWidth="1"/>
    <col min="8970" max="8971" width="15.88671875" style="138" customWidth="1"/>
    <col min="8972" max="8972" width="14.33203125" style="138" customWidth="1"/>
    <col min="8973" max="8973" width="13.6640625" style="138" customWidth="1"/>
    <col min="8974" max="8974" width="15.33203125" style="138" customWidth="1"/>
    <col min="8975" max="9214" width="9.109375" style="138" customWidth="1"/>
    <col min="9215" max="9215" width="36.44140625" style="138"/>
    <col min="9216" max="9216" width="36.44140625" style="138" bestFit="1" customWidth="1"/>
    <col min="9217" max="9217" width="18.109375" style="138" customWidth="1"/>
    <col min="9218" max="9218" width="21.33203125" style="138" customWidth="1"/>
    <col min="9219" max="9219" width="19.33203125" style="138" customWidth="1"/>
    <col min="9220" max="9220" width="20.5546875" style="138" customWidth="1"/>
    <col min="9221" max="9221" width="17.88671875" style="138" customWidth="1"/>
    <col min="9222" max="9222" width="15.109375" style="138" customWidth="1"/>
    <col min="9223" max="9223" width="18.33203125" style="138" customWidth="1"/>
    <col min="9224" max="9224" width="16.5546875" style="138" customWidth="1"/>
    <col min="9225" max="9225" width="15.6640625" style="138" customWidth="1"/>
    <col min="9226" max="9227" width="15.88671875" style="138" customWidth="1"/>
    <col min="9228" max="9228" width="14.33203125" style="138" customWidth="1"/>
    <col min="9229" max="9229" width="13.6640625" style="138" customWidth="1"/>
    <col min="9230" max="9230" width="15.33203125" style="138" customWidth="1"/>
    <col min="9231" max="9470" width="9.109375" style="138" customWidth="1"/>
    <col min="9471" max="9471" width="36.44140625" style="138"/>
    <col min="9472" max="9472" width="36.44140625" style="138" bestFit="1" customWidth="1"/>
    <col min="9473" max="9473" width="18.109375" style="138" customWidth="1"/>
    <col min="9474" max="9474" width="21.33203125" style="138" customWidth="1"/>
    <col min="9475" max="9475" width="19.33203125" style="138" customWidth="1"/>
    <col min="9476" max="9476" width="20.5546875" style="138" customWidth="1"/>
    <col min="9477" max="9477" width="17.88671875" style="138" customWidth="1"/>
    <col min="9478" max="9478" width="15.109375" style="138" customWidth="1"/>
    <col min="9479" max="9479" width="18.33203125" style="138" customWidth="1"/>
    <col min="9480" max="9480" width="16.5546875" style="138" customWidth="1"/>
    <col min="9481" max="9481" width="15.6640625" style="138" customWidth="1"/>
    <col min="9482" max="9483" width="15.88671875" style="138" customWidth="1"/>
    <col min="9484" max="9484" width="14.33203125" style="138" customWidth="1"/>
    <col min="9485" max="9485" width="13.6640625" style="138" customWidth="1"/>
    <col min="9486" max="9486" width="15.33203125" style="138" customWidth="1"/>
    <col min="9487" max="9726" width="9.109375" style="138" customWidth="1"/>
    <col min="9727" max="9727" width="36.44140625" style="138"/>
    <col min="9728" max="9728" width="36.44140625" style="138" bestFit="1" customWidth="1"/>
    <col min="9729" max="9729" width="18.109375" style="138" customWidth="1"/>
    <col min="9730" max="9730" width="21.33203125" style="138" customWidth="1"/>
    <col min="9731" max="9731" width="19.33203125" style="138" customWidth="1"/>
    <col min="9732" max="9732" width="20.5546875" style="138" customWidth="1"/>
    <col min="9733" max="9733" width="17.88671875" style="138" customWidth="1"/>
    <col min="9734" max="9734" width="15.109375" style="138" customWidth="1"/>
    <col min="9735" max="9735" width="18.33203125" style="138" customWidth="1"/>
    <col min="9736" max="9736" width="16.5546875" style="138" customWidth="1"/>
    <col min="9737" max="9737" width="15.6640625" style="138" customWidth="1"/>
    <col min="9738" max="9739" width="15.88671875" style="138" customWidth="1"/>
    <col min="9740" max="9740" width="14.33203125" style="138" customWidth="1"/>
    <col min="9741" max="9741" width="13.6640625" style="138" customWidth="1"/>
    <col min="9742" max="9742" width="15.33203125" style="138" customWidth="1"/>
    <col min="9743" max="9982" width="9.109375" style="138" customWidth="1"/>
    <col min="9983" max="9983" width="36.44140625" style="138"/>
    <col min="9984" max="9984" width="36.44140625" style="138" bestFit="1" customWidth="1"/>
    <col min="9985" max="9985" width="18.109375" style="138" customWidth="1"/>
    <col min="9986" max="9986" width="21.33203125" style="138" customWidth="1"/>
    <col min="9987" max="9987" width="19.33203125" style="138" customWidth="1"/>
    <col min="9988" max="9988" width="20.5546875" style="138" customWidth="1"/>
    <col min="9989" max="9989" width="17.88671875" style="138" customWidth="1"/>
    <col min="9990" max="9990" width="15.109375" style="138" customWidth="1"/>
    <col min="9991" max="9991" width="18.33203125" style="138" customWidth="1"/>
    <col min="9992" max="9992" width="16.5546875" style="138" customWidth="1"/>
    <col min="9993" max="9993" width="15.6640625" style="138" customWidth="1"/>
    <col min="9994" max="9995" width="15.88671875" style="138" customWidth="1"/>
    <col min="9996" max="9996" width="14.33203125" style="138" customWidth="1"/>
    <col min="9997" max="9997" width="13.6640625" style="138" customWidth="1"/>
    <col min="9998" max="9998" width="15.33203125" style="138" customWidth="1"/>
    <col min="9999" max="10238" width="9.109375" style="138" customWidth="1"/>
    <col min="10239" max="10239" width="36.44140625" style="138"/>
    <col min="10240" max="10240" width="36.44140625" style="138" bestFit="1" customWidth="1"/>
    <col min="10241" max="10241" width="18.109375" style="138" customWidth="1"/>
    <col min="10242" max="10242" width="21.33203125" style="138" customWidth="1"/>
    <col min="10243" max="10243" width="19.33203125" style="138" customWidth="1"/>
    <col min="10244" max="10244" width="20.5546875" style="138" customWidth="1"/>
    <col min="10245" max="10245" width="17.88671875" style="138" customWidth="1"/>
    <col min="10246" max="10246" width="15.109375" style="138" customWidth="1"/>
    <col min="10247" max="10247" width="18.33203125" style="138" customWidth="1"/>
    <col min="10248" max="10248" width="16.5546875" style="138" customWidth="1"/>
    <col min="10249" max="10249" width="15.6640625" style="138" customWidth="1"/>
    <col min="10250" max="10251" width="15.88671875" style="138" customWidth="1"/>
    <col min="10252" max="10252" width="14.33203125" style="138" customWidth="1"/>
    <col min="10253" max="10253" width="13.6640625" style="138" customWidth="1"/>
    <col min="10254" max="10254" width="15.33203125" style="138" customWidth="1"/>
    <col min="10255" max="10494" width="9.109375" style="138" customWidth="1"/>
    <col min="10495" max="10495" width="36.44140625" style="138"/>
    <col min="10496" max="10496" width="36.44140625" style="138" bestFit="1" customWidth="1"/>
    <col min="10497" max="10497" width="18.109375" style="138" customWidth="1"/>
    <col min="10498" max="10498" width="21.33203125" style="138" customWidth="1"/>
    <col min="10499" max="10499" width="19.33203125" style="138" customWidth="1"/>
    <col min="10500" max="10500" width="20.5546875" style="138" customWidth="1"/>
    <col min="10501" max="10501" width="17.88671875" style="138" customWidth="1"/>
    <col min="10502" max="10502" width="15.109375" style="138" customWidth="1"/>
    <col min="10503" max="10503" width="18.33203125" style="138" customWidth="1"/>
    <col min="10504" max="10504" width="16.5546875" style="138" customWidth="1"/>
    <col min="10505" max="10505" width="15.6640625" style="138" customWidth="1"/>
    <col min="10506" max="10507" width="15.88671875" style="138" customWidth="1"/>
    <col min="10508" max="10508" width="14.33203125" style="138" customWidth="1"/>
    <col min="10509" max="10509" width="13.6640625" style="138" customWidth="1"/>
    <col min="10510" max="10510" width="15.33203125" style="138" customWidth="1"/>
    <col min="10511" max="10750" width="9.109375" style="138" customWidth="1"/>
    <col min="10751" max="10751" width="36.44140625" style="138"/>
    <col min="10752" max="10752" width="36.44140625" style="138" bestFit="1" customWidth="1"/>
    <col min="10753" max="10753" width="18.109375" style="138" customWidth="1"/>
    <col min="10754" max="10754" width="21.33203125" style="138" customWidth="1"/>
    <col min="10755" max="10755" width="19.33203125" style="138" customWidth="1"/>
    <col min="10756" max="10756" width="20.5546875" style="138" customWidth="1"/>
    <col min="10757" max="10757" width="17.88671875" style="138" customWidth="1"/>
    <col min="10758" max="10758" width="15.109375" style="138" customWidth="1"/>
    <col min="10759" max="10759" width="18.33203125" style="138" customWidth="1"/>
    <col min="10760" max="10760" width="16.5546875" style="138" customWidth="1"/>
    <col min="10761" max="10761" width="15.6640625" style="138" customWidth="1"/>
    <col min="10762" max="10763" width="15.88671875" style="138" customWidth="1"/>
    <col min="10764" max="10764" width="14.33203125" style="138" customWidth="1"/>
    <col min="10765" max="10765" width="13.6640625" style="138" customWidth="1"/>
    <col min="10766" max="10766" width="15.33203125" style="138" customWidth="1"/>
    <col min="10767" max="11006" width="9.109375" style="138" customWidth="1"/>
    <col min="11007" max="11007" width="36.44140625" style="138"/>
    <col min="11008" max="11008" width="36.44140625" style="138" bestFit="1" customWidth="1"/>
    <col min="11009" max="11009" width="18.109375" style="138" customWidth="1"/>
    <col min="11010" max="11010" width="21.33203125" style="138" customWidth="1"/>
    <col min="11011" max="11011" width="19.33203125" style="138" customWidth="1"/>
    <col min="11012" max="11012" width="20.5546875" style="138" customWidth="1"/>
    <col min="11013" max="11013" width="17.88671875" style="138" customWidth="1"/>
    <col min="11014" max="11014" width="15.109375" style="138" customWidth="1"/>
    <col min="11015" max="11015" width="18.33203125" style="138" customWidth="1"/>
    <col min="11016" max="11016" width="16.5546875" style="138" customWidth="1"/>
    <col min="11017" max="11017" width="15.6640625" style="138" customWidth="1"/>
    <col min="11018" max="11019" width="15.88671875" style="138" customWidth="1"/>
    <col min="11020" max="11020" width="14.33203125" style="138" customWidth="1"/>
    <col min="11021" max="11021" width="13.6640625" style="138" customWidth="1"/>
    <col min="11022" max="11022" width="15.33203125" style="138" customWidth="1"/>
    <col min="11023" max="11262" width="9.109375" style="138" customWidth="1"/>
    <col min="11263" max="11263" width="36.44140625" style="138"/>
    <col min="11264" max="11264" width="36.44140625" style="138" bestFit="1" customWidth="1"/>
    <col min="11265" max="11265" width="18.109375" style="138" customWidth="1"/>
    <col min="11266" max="11266" width="21.33203125" style="138" customWidth="1"/>
    <col min="11267" max="11267" width="19.33203125" style="138" customWidth="1"/>
    <col min="11268" max="11268" width="20.5546875" style="138" customWidth="1"/>
    <col min="11269" max="11269" width="17.88671875" style="138" customWidth="1"/>
    <col min="11270" max="11270" width="15.109375" style="138" customWidth="1"/>
    <col min="11271" max="11271" width="18.33203125" style="138" customWidth="1"/>
    <col min="11272" max="11272" width="16.5546875" style="138" customWidth="1"/>
    <col min="11273" max="11273" width="15.6640625" style="138" customWidth="1"/>
    <col min="11274" max="11275" width="15.88671875" style="138" customWidth="1"/>
    <col min="11276" max="11276" width="14.33203125" style="138" customWidth="1"/>
    <col min="11277" max="11277" width="13.6640625" style="138" customWidth="1"/>
    <col min="11278" max="11278" width="15.33203125" style="138" customWidth="1"/>
    <col min="11279" max="11518" width="9.109375" style="138" customWidth="1"/>
    <col min="11519" max="11519" width="36.44140625" style="138"/>
    <col min="11520" max="11520" width="36.44140625" style="138" bestFit="1" customWidth="1"/>
    <col min="11521" max="11521" width="18.109375" style="138" customWidth="1"/>
    <col min="11522" max="11522" width="21.33203125" style="138" customWidth="1"/>
    <col min="11523" max="11523" width="19.33203125" style="138" customWidth="1"/>
    <col min="11524" max="11524" width="20.5546875" style="138" customWidth="1"/>
    <col min="11525" max="11525" width="17.88671875" style="138" customWidth="1"/>
    <col min="11526" max="11526" width="15.109375" style="138" customWidth="1"/>
    <col min="11527" max="11527" width="18.33203125" style="138" customWidth="1"/>
    <col min="11528" max="11528" width="16.5546875" style="138" customWidth="1"/>
    <col min="11529" max="11529" width="15.6640625" style="138" customWidth="1"/>
    <col min="11530" max="11531" width="15.88671875" style="138" customWidth="1"/>
    <col min="11532" max="11532" width="14.33203125" style="138" customWidth="1"/>
    <col min="11533" max="11533" width="13.6640625" style="138" customWidth="1"/>
    <col min="11534" max="11534" width="15.33203125" style="138" customWidth="1"/>
    <col min="11535" max="11774" width="9.109375" style="138" customWidth="1"/>
    <col min="11775" max="11775" width="36.44140625" style="138"/>
    <col min="11776" max="11776" width="36.44140625" style="138" bestFit="1" customWidth="1"/>
    <col min="11777" max="11777" width="18.109375" style="138" customWidth="1"/>
    <col min="11778" max="11778" width="21.33203125" style="138" customWidth="1"/>
    <col min="11779" max="11779" width="19.33203125" style="138" customWidth="1"/>
    <col min="11780" max="11780" width="20.5546875" style="138" customWidth="1"/>
    <col min="11781" max="11781" width="17.88671875" style="138" customWidth="1"/>
    <col min="11782" max="11782" width="15.109375" style="138" customWidth="1"/>
    <col min="11783" max="11783" width="18.33203125" style="138" customWidth="1"/>
    <col min="11784" max="11784" width="16.5546875" style="138" customWidth="1"/>
    <col min="11785" max="11785" width="15.6640625" style="138" customWidth="1"/>
    <col min="11786" max="11787" width="15.88671875" style="138" customWidth="1"/>
    <col min="11788" max="11788" width="14.33203125" style="138" customWidth="1"/>
    <col min="11789" max="11789" width="13.6640625" style="138" customWidth="1"/>
    <col min="11790" max="11790" width="15.33203125" style="138" customWidth="1"/>
    <col min="11791" max="12030" width="9.109375" style="138" customWidth="1"/>
    <col min="12031" max="12031" width="36.44140625" style="138"/>
    <col min="12032" max="12032" width="36.44140625" style="138" bestFit="1" customWidth="1"/>
    <col min="12033" max="12033" width="18.109375" style="138" customWidth="1"/>
    <col min="12034" max="12034" width="21.33203125" style="138" customWidth="1"/>
    <col min="12035" max="12035" width="19.33203125" style="138" customWidth="1"/>
    <col min="12036" max="12036" width="20.5546875" style="138" customWidth="1"/>
    <col min="12037" max="12037" width="17.88671875" style="138" customWidth="1"/>
    <col min="12038" max="12038" width="15.109375" style="138" customWidth="1"/>
    <col min="12039" max="12039" width="18.33203125" style="138" customWidth="1"/>
    <col min="12040" max="12040" width="16.5546875" style="138" customWidth="1"/>
    <col min="12041" max="12041" width="15.6640625" style="138" customWidth="1"/>
    <col min="12042" max="12043" width="15.88671875" style="138" customWidth="1"/>
    <col min="12044" max="12044" width="14.33203125" style="138" customWidth="1"/>
    <col min="12045" max="12045" width="13.6640625" style="138" customWidth="1"/>
    <col min="12046" max="12046" width="15.33203125" style="138" customWidth="1"/>
    <col min="12047" max="12286" width="9.109375" style="138" customWidth="1"/>
    <col min="12287" max="12287" width="36.44140625" style="138"/>
    <col min="12288" max="12288" width="36.44140625" style="138" bestFit="1" customWidth="1"/>
    <col min="12289" max="12289" width="18.109375" style="138" customWidth="1"/>
    <col min="12290" max="12290" width="21.33203125" style="138" customWidth="1"/>
    <col min="12291" max="12291" width="19.33203125" style="138" customWidth="1"/>
    <col min="12292" max="12292" width="20.5546875" style="138" customWidth="1"/>
    <col min="12293" max="12293" width="17.88671875" style="138" customWidth="1"/>
    <col min="12294" max="12294" width="15.109375" style="138" customWidth="1"/>
    <col min="12295" max="12295" width="18.33203125" style="138" customWidth="1"/>
    <col min="12296" max="12296" width="16.5546875" style="138" customWidth="1"/>
    <col min="12297" max="12297" width="15.6640625" style="138" customWidth="1"/>
    <col min="12298" max="12299" width="15.88671875" style="138" customWidth="1"/>
    <col min="12300" max="12300" width="14.33203125" style="138" customWidth="1"/>
    <col min="12301" max="12301" width="13.6640625" style="138" customWidth="1"/>
    <col min="12302" max="12302" width="15.33203125" style="138" customWidth="1"/>
    <col min="12303" max="12542" width="9.109375" style="138" customWidth="1"/>
    <col min="12543" max="12543" width="36.44140625" style="138"/>
    <col min="12544" max="12544" width="36.44140625" style="138" bestFit="1" customWidth="1"/>
    <col min="12545" max="12545" width="18.109375" style="138" customWidth="1"/>
    <col min="12546" max="12546" width="21.33203125" style="138" customWidth="1"/>
    <col min="12547" max="12547" width="19.33203125" style="138" customWidth="1"/>
    <col min="12548" max="12548" width="20.5546875" style="138" customWidth="1"/>
    <col min="12549" max="12549" width="17.88671875" style="138" customWidth="1"/>
    <col min="12550" max="12550" width="15.109375" style="138" customWidth="1"/>
    <col min="12551" max="12551" width="18.33203125" style="138" customWidth="1"/>
    <col min="12552" max="12552" width="16.5546875" style="138" customWidth="1"/>
    <col min="12553" max="12553" width="15.6640625" style="138" customWidth="1"/>
    <col min="12554" max="12555" width="15.88671875" style="138" customWidth="1"/>
    <col min="12556" max="12556" width="14.33203125" style="138" customWidth="1"/>
    <col min="12557" max="12557" width="13.6640625" style="138" customWidth="1"/>
    <col min="12558" max="12558" width="15.33203125" style="138" customWidth="1"/>
    <col min="12559" max="12798" width="9.109375" style="138" customWidth="1"/>
    <col min="12799" max="12799" width="36.44140625" style="138"/>
    <col min="12800" max="12800" width="36.44140625" style="138" bestFit="1" customWidth="1"/>
    <col min="12801" max="12801" width="18.109375" style="138" customWidth="1"/>
    <col min="12802" max="12802" width="21.33203125" style="138" customWidth="1"/>
    <col min="12803" max="12803" width="19.33203125" style="138" customWidth="1"/>
    <col min="12804" max="12804" width="20.5546875" style="138" customWidth="1"/>
    <col min="12805" max="12805" width="17.88671875" style="138" customWidth="1"/>
    <col min="12806" max="12806" width="15.109375" style="138" customWidth="1"/>
    <col min="12807" max="12807" width="18.33203125" style="138" customWidth="1"/>
    <col min="12808" max="12808" width="16.5546875" style="138" customWidth="1"/>
    <col min="12809" max="12809" width="15.6640625" style="138" customWidth="1"/>
    <col min="12810" max="12811" width="15.88671875" style="138" customWidth="1"/>
    <col min="12812" max="12812" width="14.33203125" style="138" customWidth="1"/>
    <col min="12813" max="12813" width="13.6640625" style="138" customWidth="1"/>
    <col min="12814" max="12814" width="15.33203125" style="138" customWidth="1"/>
    <col min="12815" max="13054" width="9.109375" style="138" customWidth="1"/>
    <col min="13055" max="13055" width="36.44140625" style="138"/>
    <col min="13056" max="13056" width="36.44140625" style="138" bestFit="1" customWidth="1"/>
    <col min="13057" max="13057" width="18.109375" style="138" customWidth="1"/>
    <col min="13058" max="13058" width="21.33203125" style="138" customWidth="1"/>
    <col min="13059" max="13059" width="19.33203125" style="138" customWidth="1"/>
    <col min="13060" max="13060" width="20.5546875" style="138" customWidth="1"/>
    <col min="13061" max="13061" width="17.88671875" style="138" customWidth="1"/>
    <col min="13062" max="13062" width="15.109375" style="138" customWidth="1"/>
    <col min="13063" max="13063" width="18.33203125" style="138" customWidth="1"/>
    <col min="13064" max="13064" width="16.5546875" style="138" customWidth="1"/>
    <col min="13065" max="13065" width="15.6640625" style="138" customWidth="1"/>
    <col min="13066" max="13067" width="15.88671875" style="138" customWidth="1"/>
    <col min="13068" max="13068" width="14.33203125" style="138" customWidth="1"/>
    <col min="13069" max="13069" width="13.6640625" style="138" customWidth="1"/>
    <col min="13070" max="13070" width="15.33203125" style="138" customWidth="1"/>
    <col min="13071" max="13310" width="9.109375" style="138" customWidth="1"/>
    <col min="13311" max="13311" width="36.44140625" style="138"/>
    <col min="13312" max="13312" width="36.44140625" style="138" bestFit="1" customWidth="1"/>
    <col min="13313" max="13313" width="18.109375" style="138" customWidth="1"/>
    <col min="13314" max="13314" width="21.33203125" style="138" customWidth="1"/>
    <col min="13315" max="13315" width="19.33203125" style="138" customWidth="1"/>
    <col min="13316" max="13316" width="20.5546875" style="138" customWidth="1"/>
    <col min="13317" max="13317" width="17.88671875" style="138" customWidth="1"/>
    <col min="13318" max="13318" width="15.109375" style="138" customWidth="1"/>
    <col min="13319" max="13319" width="18.33203125" style="138" customWidth="1"/>
    <col min="13320" max="13320" width="16.5546875" style="138" customWidth="1"/>
    <col min="13321" max="13321" width="15.6640625" style="138" customWidth="1"/>
    <col min="13322" max="13323" width="15.88671875" style="138" customWidth="1"/>
    <col min="13324" max="13324" width="14.33203125" style="138" customWidth="1"/>
    <col min="13325" max="13325" width="13.6640625" style="138" customWidth="1"/>
    <col min="13326" max="13326" width="15.33203125" style="138" customWidth="1"/>
    <col min="13327" max="13566" width="9.109375" style="138" customWidth="1"/>
    <col min="13567" max="13567" width="36.44140625" style="138"/>
    <col min="13568" max="13568" width="36.44140625" style="138" bestFit="1" customWidth="1"/>
    <col min="13569" max="13569" width="18.109375" style="138" customWidth="1"/>
    <col min="13570" max="13570" width="21.33203125" style="138" customWidth="1"/>
    <col min="13571" max="13571" width="19.33203125" style="138" customWidth="1"/>
    <col min="13572" max="13572" width="20.5546875" style="138" customWidth="1"/>
    <col min="13573" max="13573" width="17.88671875" style="138" customWidth="1"/>
    <col min="13574" max="13574" width="15.109375" style="138" customWidth="1"/>
    <col min="13575" max="13575" width="18.33203125" style="138" customWidth="1"/>
    <col min="13576" max="13576" width="16.5546875" style="138" customWidth="1"/>
    <col min="13577" max="13577" width="15.6640625" style="138" customWidth="1"/>
    <col min="13578" max="13579" width="15.88671875" style="138" customWidth="1"/>
    <col min="13580" max="13580" width="14.33203125" style="138" customWidth="1"/>
    <col min="13581" max="13581" width="13.6640625" style="138" customWidth="1"/>
    <col min="13582" max="13582" width="15.33203125" style="138" customWidth="1"/>
    <col min="13583" max="13822" width="9.109375" style="138" customWidth="1"/>
    <col min="13823" max="13823" width="36.44140625" style="138"/>
    <col min="13824" max="13824" width="36.44140625" style="138" bestFit="1" customWidth="1"/>
    <col min="13825" max="13825" width="18.109375" style="138" customWidth="1"/>
    <col min="13826" max="13826" width="21.33203125" style="138" customWidth="1"/>
    <col min="13827" max="13827" width="19.33203125" style="138" customWidth="1"/>
    <col min="13828" max="13828" width="20.5546875" style="138" customWidth="1"/>
    <col min="13829" max="13829" width="17.88671875" style="138" customWidth="1"/>
    <col min="13830" max="13830" width="15.109375" style="138" customWidth="1"/>
    <col min="13831" max="13831" width="18.33203125" style="138" customWidth="1"/>
    <col min="13832" max="13832" width="16.5546875" style="138" customWidth="1"/>
    <col min="13833" max="13833" width="15.6640625" style="138" customWidth="1"/>
    <col min="13834" max="13835" width="15.88671875" style="138" customWidth="1"/>
    <col min="13836" max="13836" width="14.33203125" style="138" customWidth="1"/>
    <col min="13837" max="13837" width="13.6640625" style="138" customWidth="1"/>
    <col min="13838" max="13838" width="15.33203125" style="138" customWidth="1"/>
    <col min="13839" max="14078" width="9.109375" style="138" customWidth="1"/>
    <col min="14079" max="14079" width="36.44140625" style="138"/>
    <col min="14080" max="14080" width="36.44140625" style="138" bestFit="1" customWidth="1"/>
    <col min="14081" max="14081" width="18.109375" style="138" customWidth="1"/>
    <col min="14082" max="14082" width="21.33203125" style="138" customWidth="1"/>
    <col min="14083" max="14083" width="19.33203125" style="138" customWidth="1"/>
    <col min="14084" max="14084" width="20.5546875" style="138" customWidth="1"/>
    <col min="14085" max="14085" width="17.88671875" style="138" customWidth="1"/>
    <col min="14086" max="14086" width="15.109375" style="138" customWidth="1"/>
    <col min="14087" max="14087" width="18.33203125" style="138" customWidth="1"/>
    <col min="14088" max="14088" width="16.5546875" style="138" customWidth="1"/>
    <col min="14089" max="14089" width="15.6640625" style="138" customWidth="1"/>
    <col min="14090" max="14091" width="15.88671875" style="138" customWidth="1"/>
    <col min="14092" max="14092" width="14.33203125" style="138" customWidth="1"/>
    <col min="14093" max="14093" width="13.6640625" style="138" customWidth="1"/>
    <col min="14094" max="14094" width="15.33203125" style="138" customWidth="1"/>
    <col min="14095" max="14334" width="9.109375" style="138" customWidth="1"/>
    <col min="14335" max="14335" width="36.44140625" style="138"/>
    <col min="14336" max="14336" width="36.44140625" style="138" bestFit="1" customWidth="1"/>
    <col min="14337" max="14337" width="18.109375" style="138" customWidth="1"/>
    <col min="14338" max="14338" width="21.33203125" style="138" customWidth="1"/>
    <col min="14339" max="14339" width="19.33203125" style="138" customWidth="1"/>
    <col min="14340" max="14340" width="20.5546875" style="138" customWidth="1"/>
    <col min="14341" max="14341" width="17.88671875" style="138" customWidth="1"/>
    <col min="14342" max="14342" width="15.109375" style="138" customWidth="1"/>
    <col min="14343" max="14343" width="18.33203125" style="138" customWidth="1"/>
    <col min="14344" max="14344" width="16.5546875" style="138" customWidth="1"/>
    <col min="14345" max="14345" width="15.6640625" style="138" customWidth="1"/>
    <col min="14346" max="14347" width="15.88671875" style="138" customWidth="1"/>
    <col min="14348" max="14348" width="14.33203125" style="138" customWidth="1"/>
    <col min="14349" max="14349" width="13.6640625" style="138" customWidth="1"/>
    <col min="14350" max="14350" width="15.33203125" style="138" customWidth="1"/>
    <col min="14351" max="14590" width="9.109375" style="138" customWidth="1"/>
    <col min="14591" max="14591" width="36.44140625" style="138"/>
    <col min="14592" max="14592" width="36.44140625" style="138" bestFit="1" customWidth="1"/>
    <col min="14593" max="14593" width="18.109375" style="138" customWidth="1"/>
    <col min="14594" max="14594" width="21.33203125" style="138" customWidth="1"/>
    <col min="14595" max="14595" width="19.33203125" style="138" customWidth="1"/>
    <col min="14596" max="14596" width="20.5546875" style="138" customWidth="1"/>
    <col min="14597" max="14597" width="17.88671875" style="138" customWidth="1"/>
    <col min="14598" max="14598" width="15.109375" style="138" customWidth="1"/>
    <col min="14599" max="14599" width="18.33203125" style="138" customWidth="1"/>
    <col min="14600" max="14600" width="16.5546875" style="138" customWidth="1"/>
    <col min="14601" max="14601" width="15.6640625" style="138" customWidth="1"/>
    <col min="14602" max="14603" width="15.88671875" style="138" customWidth="1"/>
    <col min="14604" max="14604" width="14.33203125" style="138" customWidth="1"/>
    <col min="14605" max="14605" width="13.6640625" style="138" customWidth="1"/>
    <col min="14606" max="14606" width="15.33203125" style="138" customWidth="1"/>
    <col min="14607" max="14846" width="9.109375" style="138" customWidth="1"/>
    <col min="14847" max="14847" width="36.44140625" style="138"/>
    <col min="14848" max="14848" width="36.44140625" style="138" bestFit="1" customWidth="1"/>
    <col min="14849" max="14849" width="18.109375" style="138" customWidth="1"/>
    <col min="14850" max="14850" width="21.33203125" style="138" customWidth="1"/>
    <col min="14851" max="14851" width="19.33203125" style="138" customWidth="1"/>
    <col min="14852" max="14852" width="20.5546875" style="138" customWidth="1"/>
    <col min="14853" max="14853" width="17.88671875" style="138" customWidth="1"/>
    <col min="14854" max="14854" width="15.109375" style="138" customWidth="1"/>
    <col min="14855" max="14855" width="18.33203125" style="138" customWidth="1"/>
    <col min="14856" max="14856" width="16.5546875" style="138" customWidth="1"/>
    <col min="14857" max="14857" width="15.6640625" style="138" customWidth="1"/>
    <col min="14858" max="14859" width="15.88671875" style="138" customWidth="1"/>
    <col min="14860" max="14860" width="14.33203125" style="138" customWidth="1"/>
    <col min="14861" max="14861" width="13.6640625" style="138" customWidth="1"/>
    <col min="14862" max="14862" width="15.33203125" style="138" customWidth="1"/>
    <col min="14863" max="15102" width="9.109375" style="138" customWidth="1"/>
    <col min="15103" max="15103" width="36.44140625" style="138"/>
    <col min="15104" max="15104" width="36.44140625" style="138" bestFit="1" customWidth="1"/>
    <col min="15105" max="15105" width="18.109375" style="138" customWidth="1"/>
    <col min="15106" max="15106" width="21.33203125" style="138" customWidth="1"/>
    <col min="15107" max="15107" width="19.33203125" style="138" customWidth="1"/>
    <col min="15108" max="15108" width="20.5546875" style="138" customWidth="1"/>
    <col min="15109" max="15109" width="17.88671875" style="138" customWidth="1"/>
    <col min="15110" max="15110" width="15.109375" style="138" customWidth="1"/>
    <col min="15111" max="15111" width="18.33203125" style="138" customWidth="1"/>
    <col min="15112" max="15112" width="16.5546875" style="138" customWidth="1"/>
    <col min="15113" max="15113" width="15.6640625" style="138" customWidth="1"/>
    <col min="15114" max="15115" width="15.88671875" style="138" customWidth="1"/>
    <col min="15116" max="15116" width="14.33203125" style="138" customWidth="1"/>
    <col min="15117" max="15117" width="13.6640625" style="138" customWidth="1"/>
    <col min="15118" max="15118" width="15.33203125" style="138" customWidth="1"/>
    <col min="15119" max="15358" width="9.109375" style="138" customWidth="1"/>
    <col min="15359" max="15359" width="36.44140625" style="138"/>
    <col min="15360" max="15360" width="36.44140625" style="138" bestFit="1" customWidth="1"/>
    <col min="15361" max="15361" width="18.109375" style="138" customWidth="1"/>
    <col min="15362" max="15362" width="21.33203125" style="138" customWidth="1"/>
    <col min="15363" max="15363" width="19.33203125" style="138" customWidth="1"/>
    <col min="15364" max="15364" width="20.5546875" style="138" customWidth="1"/>
    <col min="15365" max="15365" width="17.88671875" style="138" customWidth="1"/>
    <col min="15366" max="15366" width="15.109375" style="138" customWidth="1"/>
    <col min="15367" max="15367" width="18.33203125" style="138" customWidth="1"/>
    <col min="15368" max="15368" width="16.5546875" style="138" customWidth="1"/>
    <col min="15369" max="15369" width="15.6640625" style="138" customWidth="1"/>
    <col min="15370" max="15371" width="15.88671875" style="138" customWidth="1"/>
    <col min="15372" max="15372" width="14.33203125" style="138" customWidth="1"/>
    <col min="15373" max="15373" width="13.6640625" style="138" customWidth="1"/>
    <col min="15374" max="15374" width="15.33203125" style="138" customWidth="1"/>
    <col min="15375" max="15614" width="9.109375" style="138" customWidth="1"/>
    <col min="15615" max="15615" width="36.44140625" style="138"/>
    <col min="15616" max="15616" width="36.44140625" style="138" bestFit="1" customWidth="1"/>
    <col min="15617" max="15617" width="18.109375" style="138" customWidth="1"/>
    <col min="15618" max="15618" width="21.33203125" style="138" customWidth="1"/>
    <col min="15619" max="15619" width="19.33203125" style="138" customWidth="1"/>
    <col min="15620" max="15620" width="20.5546875" style="138" customWidth="1"/>
    <col min="15621" max="15621" width="17.88671875" style="138" customWidth="1"/>
    <col min="15622" max="15622" width="15.109375" style="138" customWidth="1"/>
    <col min="15623" max="15623" width="18.33203125" style="138" customWidth="1"/>
    <col min="15624" max="15624" width="16.5546875" style="138" customWidth="1"/>
    <col min="15625" max="15625" width="15.6640625" style="138" customWidth="1"/>
    <col min="15626" max="15627" width="15.88671875" style="138" customWidth="1"/>
    <col min="15628" max="15628" width="14.33203125" style="138" customWidth="1"/>
    <col min="15629" max="15629" width="13.6640625" style="138" customWidth="1"/>
    <col min="15630" max="15630" width="15.33203125" style="138" customWidth="1"/>
    <col min="15631" max="15870" width="9.109375" style="138" customWidth="1"/>
    <col min="15871" max="15871" width="36.44140625" style="138"/>
    <col min="15872" max="15872" width="36.44140625" style="138" bestFit="1" customWidth="1"/>
    <col min="15873" max="15873" width="18.109375" style="138" customWidth="1"/>
    <col min="15874" max="15874" width="21.33203125" style="138" customWidth="1"/>
    <col min="15875" max="15875" width="19.33203125" style="138" customWidth="1"/>
    <col min="15876" max="15876" width="20.5546875" style="138" customWidth="1"/>
    <col min="15877" max="15877" width="17.88671875" style="138" customWidth="1"/>
    <col min="15878" max="15878" width="15.109375" style="138" customWidth="1"/>
    <col min="15879" max="15879" width="18.33203125" style="138" customWidth="1"/>
    <col min="15880" max="15880" width="16.5546875" style="138" customWidth="1"/>
    <col min="15881" max="15881" width="15.6640625" style="138" customWidth="1"/>
    <col min="15882" max="15883" width="15.88671875" style="138" customWidth="1"/>
    <col min="15884" max="15884" width="14.33203125" style="138" customWidth="1"/>
    <col min="15885" max="15885" width="13.6640625" style="138" customWidth="1"/>
    <col min="15886" max="15886" width="15.33203125" style="138" customWidth="1"/>
    <col min="15887" max="16126" width="9.109375" style="138" customWidth="1"/>
    <col min="16127" max="16127" width="36.44140625" style="138"/>
    <col min="16128" max="16128" width="36.44140625" style="138" bestFit="1" customWidth="1"/>
    <col min="16129" max="16129" width="18.109375" style="138" customWidth="1"/>
    <col min="16130" max="16130" width="21.33203125" style="138" customWidth="1"/>
    <col min="16131" max="16131" width="19.33203125" style="138" customWidth="1"/>
    <col min="16132" max="16132" width="20.5546875" style="138" customWidth="1"/>
    <col min="16133" max="16133" width="17.88671875" style="138" customWidth="1"/>
    <col min="16134" max="16134" width="15.109375" style="138" customWidth="1"/>
    <col min="16135" max="16135" width="18.33203125" style="138" customWidth="1"/>
    <col min="16136" max="16136" width="16.5546875" style="138" customWidth="1"/>
    <col min="16137" max="16137" width="15.6640625" style="138" customWidth="1"/>
    <col min="16138" max="16139" width="15.88671875" style="138" customWidth="1"/>
    <col min="16140" max="16140" width="14.33203125" style="138" customWidth="1"/>
    <col min="16141" max="16141" width="13.6640625" style="138" customWidth="1"/>
    <col min="16142" max="16142" width="15.33203125" style="138" customWidth="1"/>
    <col min="16143" max="16384" width="9.109375" style="138" customWidth="1"/>
  </cols>
  <sheetData>
    <row r="1" spans="1:13" x14ac:dyDescent="0.25">
      <c r="M1" s="198"/>
    </row>
    <row r="2" spans="1:13" ht="24" customHeight="1" x14ac:dyDescent="0.25">
      <c r="A2" s="139" t="s">
        <v>195</v>
      </c>
      <c r="E2" s="334"/>
      <c r="G2" s="139" t="s">
        <v>1029</v>
      </c>
      <c r="H2" s="139"/>
      <c r="I2" s="139"/>
      <c r="J2" s="139"/>
      <c r="K2" s="139" t="s">
        <v>196</v>
      </c>
      <c r="M2" s="198"/>
    </row>
    <row r="3" spans="1:13" ht="14.4" x14ac:dyDescent="0.25">
      <c r="A3" s="335" t="s">
        <v>181</v>
      </c>
      <c r="B3" s="900" t="s">
        <v>182</v>
      </c>
      <c r="C3" s="900"/>
      <c r="D3" s="336" t="s">
        <v>183</v>
      </c>
      <c r="E3" s="199">
        <v>2024</v>
      </c>
      <c r="F3" s="336">
        <v>2025</v>
      </c>
      <c r="G3" s="336">
        <v>2026</v>
      </c>
      <c r="H3" s="336">
        <v>2027</v>
      </c>
      <c r="I3" s="901" t="s">
        <v>184</v>
      </c>
      <c r="J3" s="902"/>
      <c r="K3" s="903"/>
    </row>
    <row r="4" spans="1:13" s="215" customFormat="1" ht="15" customHeight="1" x14ac:dyDescent="0.3">
      <c r="A4" s="337">
        <v>1</v>
      </c>
      <c r="B4" s="904" t="s">
        <v>560</v>
      </c>
      <c r="C4" s="904"/>
      <c r="D4" s="274"/>
      <c r="E4" s="338">
        <v>90000</v>
      </c>
      <c r="F4" s="338">
        <v>90000</v>
      </c>
      <c r="G4" s="338">
        <v>90000</v>
      </c>
      <c r="H4" s="338">
        <v>90000</v>
      </c>
      <c r="I4" s="884" t="s">
        <v>561</v>
      </c>
      <c r="J4" s="884"/>
      <c r="K4" s="884"/>
      <c r="L4" s="272"/>
    </row>
    <row r="5" spans="1:13" s="215" customFormat="1" ht="21" customHeight="1" x14ac:dyDescent="0.3">
      <c r="A5" s="337">
        <f>A4+1</f>
        <v>2</v>
      </c>
      <c r="B5" s="905" t="s">
        <v>437</v>
      </c>
      <c r="C5" s="906"/>
      <c r="D5" s="274"/>
      <c r="E5" s="338">
        <v>900000</v>
      </c>
      <c r="F5" s="274"/>
      <c r="G5" s="274"/>
      <c r="H5" s="274"/>
      <c r="I5" s="885" t="s">
        <v>438</v>
      </c>
      <c r="J5" s="885"/>
      <c r="K5" s="885"/>
      <c r="L5" s="272"/>
    </row>
    <row r="6" spans="1:13" s="215" customFormat="1" ht="15" customHeight="1" x14ac:dyDescent="0.3">
      <c r="A6" s="337">
        <f t="shared" ref="A6:A69" si="0">A5+1</f>
        <v>3</v>
      </c>
      <c r="B6" s="905" t="s">
        <v>562</v>
      </c>
      <c r="C6" s="906"/>
      <c r="D6" s="274"/>
      <c r="E6" s="338">
        <v>700000</v>
      </c>
      <c r="F6" s="274"/>
      <c r="G6" s="274"/>
      <c r="H6" s="274"/>
      <c r="I6" s="886" t="s">
        <v>563</v>
      </c>
      <c r="J6" s="887"/>
      <c r="K6" s="888"/>
      <c r="L6" s="272"/>
    </row>
    <row r="7" spans="1:13" s="215" customFormat="1" ht="15" customHeight="1" x14ac:dyDescent="0.3">
      <c r="A7" s="337">
        <f t="shared" si="0"/>
        <v>4</v>
      </c>
      <c r="B7" s="907" t="s">
        <v>564</v>
      </c>
      <c r="C7" s="907"/>
      <c r="D7" s="274"/>
      <c r="E7" s="338">
        <v>1320000</v>
      </c>
      <c r="F7" s="274">
        <v>1320000</v>
      </c>
      <c r="G7" s="274">
        <v>1320000</v>
      </c>
      <c r="H7" s="274">
        <v>1320000</v>
      </c>
      <c r="I7" s="889" t="s">
        <v>430</v>
      </c>
      <c r="J7" s="890"/>
      <c r="K7" s="891"/>
      <c r="L7" s="272"/>
    </row>
    <row r="8" spans="1:13" s="332" customFormat="1" ht="15" customHeight="1" x14ac:dyDescent="0.3">
      <c r="A8" s="337">
        <f t="shared" si="0"/>
        <v>5</v>
      </c>
      <c r="B8" s="894" t="s">
        <v>398</v>
      </c>
      <c r="C8" s="895"/>
      <c r="D8" s="274"/>
      <c r="E8" s="338">
        <v>90000</v>
      </c>
      <c r="F8" s="274">
        <v>90000</v>
      </c>
      <c r="G8" s="274">
        <v>90000</v>
      </c>
      <c r="H8" s="274">
        <v>90000</v>
      </c>
      <c r="I8" s="889" t="s">
        <v>399</v>
      </c>
      <c r="J8" s="890"/>
      <c r="K8" s="891"/>
      <c r="L8" s="272"/>
    </row>
    <row r="9" spans="1:13" s="215" customFormat="1" ht="15" customHeight="1" x14ac:dyDescent="0.3">
      <c r="A9" s="337">
        <f t="shared" si="0"/>
        <v>6</v>
      </c>
      <c r="B9" s="897" t="s">
        <v>400</v>
      </c>
      <c r="C9" s="897"/>
      <c r="D9" s="274"/>
      <c r="E9" s="338">
        <v>600000</v>
      </c>
      <c r="F9" s="274">
        <v>600000</v>
      </c>
      <c r="G9" s="274">
        <v>600000</v>
      </c>
      <c r="H9" s="274">
        <v>600000</v>
      </c>
      <c r="I9" s="889" t="s">
        <v>401</v>
      </c>
      <c r="J9" s="890"/>
      <c r="K9" s="891"/>
      <c r="L9" s="272"/>
    </row>
    <row r="10" spans="1:13" s="215" customFormat="1" ht="15" customHeight="1" x14ac:dyDescent="0.3">
      <c r="A10" s="337">
        <f t="shared" si="0"/>
        <v>7</v>
      </c>
      <c r="B10" s="898" t="s">
        <v>402</v>
      </c>
      <c r="C10" s="898"/>
      <c r="D10" s="274"/>
      <c r="E10" s="338">
        <v>165192</v>
      </c>
      <c r="F10" s="274">
        <v>165192</v>
      </c>
      <c r="G10" s="274">
        <v>165192</v>
      </c>
      <c r="H10" s="274">
        <v>165192</v>
      </c>
      <c r="I10" s="884" t="s">
        <v>403</v>
      </c>
      <c r="J10" s="884"/>
      <c r="K10" s="884"/>
      <c r="L10" s="272"/>
    </row>
    <row r="11" spans="1:13" s="215" customFormat="1" ht="15" customHeight="1" x14ac:dyDescent="0.3">
      <c r="A11" s="337">
        <f t="shared" si="0"/>
        <v>8</v>
      </c>
      <c r="B11" s="898" t="s">
        <v>404</v>
      </c>
      <c r="C11" s="898"/>
      <c r="D11" s="274"/>
      <c r="E11" s="338">
        <v>400000</v>
      </c>
      <c r="F11" s="274">
        <v>400000</v>
      </c>
      <c r="G11" s="274">
        <v>400000</v>
      </c>
      <c r="H11" s="274">
        <v>400000</v>
      </c>
      <c r="I11" s="884" t="s">
        <v>405</v>
      </c>
      <c r="J11" s="884"/>
      <c r="K11" s="884"/>
      <c r="L11" s="272"/>
    </row>
    <row r="12" spans="1:13" s="215" customFormat="1" ht="15" customHeight="1" x14ac:dyDescent="0.3">
      <c r="A12" s="337">
        <f t="shared" si="0"/>
        <v>9</v>
      </c>
      <c r="B12" s="898" t="s">
        <v>406</v>
      </c>
      <c r="C12" s="898"/>
      <c r="D12" s="274"/>
      <c r="E12" s="338">
        <v>13600</v>
      </c>
      <c r="F12" s="274">
        <v>13600</v>
      </c>
      <c r="G12" s="274">
        <v>13600</v>
      </c>
      <c r="H12" s="274">
        <v>13600</v>
      </c>
      <c r="I12" s="889" t="s">
        <v>407</v>
      </c>
      <c r="J12" s="890"/>
      <c r="K12" s="891"/>
      <c r="L12" s="272"/>
    </row>
    <row r="13" spans="1:13" s="215" customFormat="1" ht="15" customHeight="1" x14ac:dyDescent="0.3">
      <c r="A13" s="337">
        <f t="shared" si="0"/>
        <v>10</v>
      </c>
      <c r="B13" s="897" t="s">
        <v>408</v>
      </c>
      <c r="C13" s="897"/>
      <c r="D13" s="274"/>
      <c r="E13" s="338">
        <v>240000</v>
      </c>
      <c r="F13" s="274">
        <v>240000</v>
      </c>
      <c r="G13" s="274">
        <v>240000</v>
      </c>
      <c r="H13" s="274">
        <v>240000</v>
      </c>
      <c r="I13" s="898" t="s">
        <v>409</v>
      </c>
      <c r="J13" s="898"/>
      <c r="K13" s="898"/>
      <c r="L13" s="272"/>
    </row>
    <row r="14" spans="1:13" s="215" customFormat="1" ht="15" customHeight="1" x14ac:dyDescent="0.3">
      <c r="A14" s="337">
        <f t="shared" si="0"/>
        <v>11</v>
      </c>
      <c r="B14" s="894" t="s">
        <v>410</v>
      </c>
      <c r="C14" s="895"/>
      <c r="D14" s="274"/>
      <c r="E14" s="338">
        <v>127000</v>
      </c>
      <c r="F14" s="274">
        <v>127000</v>
      </c>
      <c r="G14" s="274">
        <v>127000</v>
      </c>
      <c r="H14" s="274">
        <v>127000</v>
      </c>
      <c r="I14" s="896" t="s">
        <v>411</v>
      </c>
      <c r="J14" s="896"/>
      <c r="K14" s="896"/>
      <c r="L14" s="272"/>
    </row>
    <row r="15" spans="1:13" s="215" customFormat="1" ht="15" customHeight="1" x14ac:dyDescent="0.3">
      <c r="A15" s="337">
        <f t="shared" si="0"/>
        <v>12</v>
      </c>
      <c r="B15" s="894" t="s">
        <v>412</v>
      </c>
      <c r="C15" s="895"/>
      <c r="D15" s="274"/>
      <c r="E15" s="338">
        <v>250000</v>
      </c>
      <c r="F15" s="274">
        <v>250000</v>
      </c>
      <c r="G15" s="274">
        <v>250000</v>
      </c>
      <c r="H15" s="274">
        <v>250000</v>
      </c>
      <c r="I15" s="889" t="s">
        <v>413</v>
      </c>
      <c r="J15" s="890"/>
      <c r="K15" s="891"/>
      <c r="L15" s="272"/>
    </row>
    <row r="16" spans="1:13" s="215" customFormat="1" ht="15" customHeight="1" x14ac:dyDescent="0.3">
      <c r="A16" s="337">
        <f t="shared" si="0"/>
        <v>13</v>
      </c>
      <c r="B16" s="897" t="s">
        <v>414</v>
      </c>
      <c r="C16" s="897"/>
      <c r="D16" s="274"/>
      <c r="E16" s="338">
        <v>220000</v>
      </c>
      <c r="F16" s="274">
        <v>220000</v>
      </c>
      <c r="G16" s="274">
        <v>220000</v>
      </c>
      <c r="H16" s="274">
        <v>220000</v>
      </c>
      <c r="I16" s="884" t="s">
        <v>415</v>
      </c>
      <c r="J16" s="884"/>
      <c r="K16" s="884"/>
      <c r="L16" s="272"/>
    </row>
    <row r="17" spans="1:12" s="215" customFormat="1" ht="15" customHeight="1" x14ac:dyDescent="0.3">
      <c r="A17" s="337">
        <f t="shared" si="0"/>
        <v>14</v>
      </c>
      <c r="B17" s="889" t="s">
        <v>416</v>
      </c>
      <c r="C17" s="891"/>
      <c r="D17" s="273" t="s">
        <v>417</v>
      </c>
      <c r="E17" s="338">
        <v>1828800</v>
      </c>
      <c r="F17" s="274">
        <v>1828800</v>
      </c>
      <c r="G17" s="274">
        <v>1828800</v>
      </c>
      <c r="H17" s="274">
        <v>1828800</v>
      </c>
      <c r="I17" s="909" t="s">
        <v>418</v>
      </c>
      <c r="J17" s="910"/>
      <c r="K17" s="911"/>
      <c r="L17" s="272"/>
    </row>
    <row r="18" spans="1:12" s="215" customFormat="1" ht="12.75" customHeight="1" x14ac:dyDescent="0.3">
      <c r="A18" s="337">
        <f t="shared" si="0"/>
        <v>15</v>
      </c>
      <c r="B18" s="897" t="s">
        <v>419</v>
      </c>
      <c r="C18" s="897"/>
      <c r="D18" s="274"/>
      <c r="E18" s="338">
        <v>600000</v>
      </c>
      <c r="F18" s="274">
        <v>600000</v>
      </c>
      <c r="G18" s="274">
        <v>600000</v>
      </c>
      <c r="H18" s="274">
        <v>600000</v>
      </c>
      <c r="I18" s="893" t="s">
        <v>420</v>
      </c>
      <c r="J18" s="893"/>
      <c r="K18" s="893"/>
      <c r="L18" s="272"/>
    </row>
    <row r="19" spans="1:12" s="215" customFormat="1" ht="12.75" customHeight="1" x14ac:dyDescent="0.3">
      <c r="A19" s="337">
        <f t="shared" si="0"/>
        <v>16</v>
      </c>
      <c r="B19" s="898" t="s">
        <v>421</v>
      </c>
      <c r="C19" s="898"/>
      <c r="D19" s="274"/>
      <c r="E19" s="338">
        <v>150000</v>
      </c>
      <c r="F19" s="274">
        <v>150000</v>
      </c>
      <c r="G19" s="274">
        <v>150000</v>
      </c>
      <c r="H19" s="274">
        <v>150000</v>
      </c>
      <c r="I19" s="884" t="s">
        <v>422</v>
      </c>
      <c r="J19" s="884"/>
      <c r="K19" s="884"/>
      <c r="L19" s="272"/>
    </row>
    <row r="20" spans="1:12" s="215" customFormat="1" ht="15" customHeight="1" x14ac:dyDescent="0.3">
      <c r="A20" s="337">
        <f t="shared" si="0"/>
        <v>17</v>
      </c>
      <c r="B20" s="898" t="s">
        <v>423</v>
      </c>
      <c r="C20" s="898"/>
      <c r="D20" s="274"/>
      <c r="E20" s="338">
        <v>152904</v>
      </c>
      <c r="F20" s="274">
        <v>152904</v>
      </c>
      <c r="G20" s="274">
        <v>152904</v>
      </c>
      <c r="H20" s="274">
        <v>152904</v>
      </c>
      <c r="I20" s="884" t="s">
        <v>424</v>
      </c>
      <c r="J20" s="884"/>
      <c r="K20" s="884"/>
      <c r="L20" s="272"/>
    </row>
    <row r="21" spans="1:12" s="215" customFormat="1" ht="15" customHeight="1" x14ac:dyDescent="0.3">
      <c r="A21" s="337">
        <f t="shared" si="0"/>
        <v>18</v>
      </c>
      <c r="B21" s="898" t="s">
        <v>425</v>
      </c>
      <c r="C21" s="898"/>
      <c r="D21" s="274"/>
      <c r="E21" s="338">
        <v>2445000</v>
      </c>
      <c r="F21" s="274"/>
      <c r="G21" s="274"/>
      <c r="H21" s="274"/>
      <c r="I21" s="899" t="s">
        <v>426</v>
      </c>
      <c r="J21" s="899"/>
      <c r="K21" s="899"/>
      <c r="L21" s="272"/>
    </row>
    <row r="22" spans="1:12" s="215" customFormat="1" ht="15" customHeight="1" x14ac:dyDescent="0.3">
      <c r="A22" s="337">
        <f t="shared" si="0"/>
        <v>19</v>
      </c>
      <c r="B22" s="898" t="s">
        <v>427</v>
      </c>
      <c r="C22" s="898"/>
      <c r="D22" s="274" t="s">
        <v>428</v>
      </c>
      <c r="E22" s="338">
        <v>1560000</v>
      </c>
      <c r="F22" s="274"/>
      <c r="G22" s="274"/>
      <c r="H22" s="274"/>
      <c r="I22" s="889" t="s">
        <v>429</v>
      </c>
      <c r="J22" s="890"/>
      <c r="K22" s="891"/>
      <c r="L22" s="272"/>
    </row>
    <row r="23" spans="1:12" s="215" customFormat="1" ht="15.75" customHeight="1" x14ac:dyDescent="0.3">
      <c r="A23" s="337">
        <f t="shared" si="0"/>
        <v>20</v>
      </c>
      <c r="B23" s="894" t="s">
        <v>565</v>
      </c>
      <c r="C23" s="895"/>
      <c r="D23" s="274"/>
      <c r="E23" s="338">
        <v>228600</v>
      </c>
      <c r="F23" s="274">
        <v>228600</v>
      </c>
      <c r="G23" s="274">
        <v>228600</v>
      </c>
      <c r="H23" s="274">
        <v>228600</v>
      </c>
      <c r="I23" s="889" t="s">
        <v>431</v>
      </c>
      <c r="J23" s="890"/>
      <c r="K23" s="891"/>
      <c r="L23" s="272"/>
    </row>
    <row r="24" spans="1:12" s="215" customFormat="1" ht="15" customHeight="1" x14ac:dyDescent="0.3">
      <c r="A24" s="337">
        <f t="shared" si="0"/>
        <v>21</v>
      </c>
      <c r="B24" s="894" t="s">
        <v>432</v>
      </c>
      <c r="C24" s="895"/>
      <c r="D24" s="274"/>
      <c r="E24" s="338">
        <v>65000</v>
      </c>
      <c r="F24" s="274">
        <v>65000</v>
      </c>
      <c r="G24" s="274">
        <v>65000</v>
      </c>
      <c r="H24" s="274">
        <v>65000</v>
      </c>
      <c r="I24" s="889" t="s">
        <v>433</v>
      </c>
      <c r="J24" s="890"/>
      <c r="K24" s="891"/>
      <c r="L24" s="272"/>
    </row>
    <row r="25" spans="1:12" s="215" customFormat="1" ht="15" customHeight="1" x14ac:dyDescent="0.3">
      <c r="A25" s="337">
        <f t="shared" si="0"/>
        <v>22</v>
      </c>
      <c r="B25" s="894" t="s">
        <v>434</v>
      </c>
      <c r="C25" s="895"/>
      <c r="D25" s="274"/>
      <c r="E25" s="338">
        <v>111600</v>
      </c>
      <c r="F25" s="274">
        <v>111600</v>
      </c>
      <c r="G25" s="274">
        <v>111600</v>
      </c>
      <c r="H25" s="274">
        <v>111600</v>
      </c>
      <c r="I25" s="889" t="s">
        <v>435</v>
      </c>
      <c r="J25" s="890"/>
      <c r="K25" s="891"/>
      <c r="L25" s="272"/>
    </row>
    <row r="26" spans="1:12" s="215" customFormat="1" ht="15" customHeight="1" x14ac:dyDescent="0.3">
      <c r="A26" s="337">
        <f t="shared" si="0"/>
        <v>23</v>
      </c>
      <c r="B26" s="894" t="s">
        <v>434</v>
      </c>
      <c r="C26" s="895"/>
      <c r="D26" s="274"/>
      <c r="E26" s="338">
        <v>96228</v>
      </c>
      <c r="F26" s="274">
        <v>96228</v>
      </c>
      <c r="G26" s="274">
        <v>96228</v>
      </c>
      <c r="H26" s="274">
        <v>96228</v>
      </c>
      <c r="I26" s="889" t="s">
        <v>436</v>
      </c>
      <c r="J26" s="890"/>
      <c r="K26" s="891"/>
      <c r="L26" s="272"/>
    </row>
    <row r="27" spans="1:12" s="215" customFormat="1" ht="15" customHeight="1" x14ac:dyDescent="0.3">
      <c r="A27" s="337">
        <f t="shared" si="0"/>
        <v>24</v>
      </c>
      <c r="B27" s="908" t="s">
        <v>437</v>
      </c>
      <c r="C27" s="908"/>
      <c r="D27" s="339"/>
      <c r="E27" s="338">
        <v>2100000</v>
      </c>
      <c r="F27" s="338"/>
      <c r="G27" s="338"/>
      <c r="H27" s="338"/>
      <c r="I27" s="885" t="s">
        <v>438</v>
      </c>
      <c r="J27" s="885"/>
      <c r="K27" s="885"/>
      <c r="L27" s="200"/>
    </row>
    <row r="28" spans="1:12" s="215" customFormat="1" ht="13.8" x14ac:dyDescent="0.3">
      <c r="A28" s="337">
        <f t="shared" si="0"/>
        <v>25</v>
      </c>
      <c r="B28" s="892" t="s">
        <v>566</v>
      </c>
      <c r="C28" s="892"/>
      <c r="D28" s="339"/>
      <c r="E28" s="338">
        <v>1200000</v>
      </c>
      <c r="F28" s="338"/>
      <c r="G28" s="338"/>
      <c r="H28" s="338"/>
      <c r="I28" s="886" t="s">
        <v>563</v>
      </c>
      <c r="J28" s="887"/>
      <c r="K28" s="888"/>
      <c r="L28" s="200"/>
    </row>
    <row r="29" spans="1:12" s="215" customFormat="1" ht="15" customHeight="1" x14ac:dyDescent="0.3">
      <c r="A29" s="337">
        <f t="shared" si="0"/>
        <v>26</v>
      </c>
      <c r="B29" s="892" t="s">
        <v>567</v>
      </c>
      <c r="C29" s="892"/>
      <c r="D29" s="339"/>
      <c r="E29" s="338">
        <v>7000000</v>
      </c>
      <c r="F29" s="338"/>
      <c r="G29" s="338"/>
      <c r="H29" s="338"/>
      <c r="I29" s="886" t="s">
        <v>563</v>
      </c>
      <c r="J29" s="887"/>
      <c r="K29" s="888"/>
      <c r="L29" s="200"/>
    </row>
    <row r="30" spans="1:12" s="215" customFormat="1" ht="15" customHeight="1" x14ac:dyDescent="0.3">
      <c r="A30" s="337">
        <f t="shared" si="0"/>
        <v>27</v>
      </c>
      <c r="B30" s="892" t="s">
        <v>568</v>
      </c>
      <c r="C30" s="892"/>
      <c r="D30" s="339"/>
      <c r="E30" s="338">
        <v>4300000</v>
      </c>
      <c r="F30" s="338"/>
      <c r="G30" s="338"/>
      <c r="H30" s="338"/>
      <c r="I30" s="886" t="s">
        <v>563</v>
      </c>
      <c r="J30" s="887"/>
      <c r="K30" s="888"/>
      <c r="L30" s="200"/>
    </row>
    <row r="31" spans="1:12" s="276" customFormat="1" ht="15" customHeight="1" x14ac:dyDescent="0.3">
      <c r="A31" s="337">
        <f t="shared" si="0"/>
        <v>28</v>
      </c>
      <c r="B31" s="892" t="s">
        <v>569</v>
      </c>
      <c r="C31" s="892"/>
      <c r="D31" s="339"/>
      <c r="E31" s="338">
        <v>4300000</v>
      </c>
      <c r="F31" s="338"/>
      <c r="G31" s="338"/>
      <c r="H31" s="338"/>
      <c r="I31" s="886" t="s">
        <v>563</v>
      </c>
      <c r="J31" s="887"/>
      <c r="K31" s="888"/>
      <c r="L31" s="200"/>
    </row>
    <row r="32" spans="1:12" s="276" customFormat="1" ht="15" customHeight="1" x14ac:dyDescent="0.3">
      <c r="A32" s="337">
        <f t="shared" si="0"/>
        <v>29</v>
      </c>
      <c r="B32" s="898" t="s">
        <v>570</v>
      </c>
      <c r="C32" s="898"/>
      <c r="D32" s="340"/>
      <c r="E32" s="338">
        <v>53820</v>
      </c>
      <c r="F32" s="338">
        <v>53820</v>
      </c>
      <c r="G32" s="338">
        <v>53820</v>
      </c>
      <c r="H32" s="338">
        <v>53820</v>
      </c>
      <c r="I32" s="886" t="s">
        <v>439</v>
      </c>
      <c r="J32" s="887"/>
      <c r="K32" s="888"/>
      <c r="L32" s="272"/>
    </row>
    <row r="33" spans="1:12" s="276" customFormat="1" ht="15" customHeight="1" x14ac:dyDescent="0.3">
      <c r="A33" s="337">
        <f t="shared" si="0"/>
        <v>30</v>
      </c>
      <c r="B33" s="898" t="s">
        <v>570</v>
      </c>
      <c r="C33" s="898"/>
      <c r="D33" s="340"/>
      <c r="E33" s="338">
        <v>33523</v>
      </c>
      <c r="F33" s="338">
        <v>33523</v>
      </c>
      <c r="G33" s="338">
        <v>33523</v>
      </c>
      <c r="H33" s="338">
        <v>33523</v>
      </c>
      <c r="I33" s="884" t="s">
        <v>440</v>
      </c>
      <c r="J33" s="884"/>
      <c r="K33" s="884"/>
      <c r="L33" s="272"/>
    </row>
    <row r="34" spans="1:12" s="276" customFormat="1" ht="15" customHeight="1" x14ac:dyDescent="0.3">
      <c r="A34" s="337">
        <f t="shared" si="0"/>
        <v>31</v>
      </c>
      <c r="B34" s="898" t="s">
        <v>441</v>
      </c>
      <c r="C34" s="898"/>
      <c r="D34" s="340"/>
      <c r="E34" s="338">
        <v>90697</v>
      </c>
      <c r="F34" s="274">
        <v>90697</v>
      </c>
      <c r="G34" s="274">
        <v>90697</v>
      </c>
      <c r="H34" s="274">
        <v>90697</v>
      </c>
      <c r="I34" s="889" t="s">
        <v>476</v>
      </c>
      <c r="J34" s="890"/>
      <c r="K34" s="891"/>
      <c r="L34" s="272"/>
    </row>
    <row r="35" spans="1:12" s="276" customFormat="1" ht="15" customHeight="1" x14ac:dyDescent="0.3">
      <c r="A35" s="337">
        <f t="shared" si="0"/>
        <v>32</v>
      </c>
      <c r="B35" s="898" t="s">
        <v>441</v>
      </c>
      <c r="C35" s="898"/>
      <c r="D35" s="340"/>
      <c r="E35" s="338">
        <v>174186</v>
      </c>
      <c r="F35" s="274">
        <v>174186</v>
      </c>
      <c r="G35" s="274">
        <v>174186</v>
      </c>
      <c r="H35" s="274">
        <v>174186</v>
      </c>
      <c r="I35" s="884" t="s">
        <v>442</v>
      </c>
      <c r="J35" s="884"/>
      <c r="K35" s="884"/>
      <c r="L35" s="272"/>
    </row>
    <row r="36" spans="1:12" s="276" customFormat="1" ht="15" customHeight="1" x14ac:dyDescent="0.3">
      <c r="A36" s="337">
        <f t="shared" si="0"/>
        <v>33</v>
      </c>
      <c r="B36" s="897" t="s">
        <v>443</v>
      </c>
      <c r="C36" s="897"/>
      <c r="D36" s="274"/>
      <c r="E36" s="338">
        <v>94800</v>
      </c>
      <c r="F36" s="274">
        <v>94800</v>
      </c>
      <c r="G36" s="274">
        <v>94800</v>
      </c>
      <c r="H36" s="274">
        <v>94800</v>
      </c>
      <c r="I36" s="898" t="s">
        <v>444</v>
      </c>
      <c r="J36" s="898"/>
      <c r="K36" s="898"/>
      <c r="L36" s="272"/>
    </row>
    <row r="37" spans="1:12" s="276" customFormat="1" ht="15" customHeight="1" x14ac:dyDescent="0.3">
      <c r="A37" s="337">
        <f t="shared" si="0"/>
        <v>34</v>
      </c>
      <c r="B37" s="897" t="s">
        <v>443</v>
      </c>
      <c r="C37" s="897"/>
      <c r="D37" s="340"/>
      <c r="E37" s="338">
        <v>70844</v>
      </c>
      <c r="F37" s="274">
        <v>70844</v>
      </c>
      <c r="G37" s="274">
        <v>70844</v>
      </c>
      <c r="H37" s="274">
        <v>70844</v>
      </c>
      <c r="I37" s="898" t="s">
        <v>445</v>
      </c>
      <c r="J37" s="898"/>
      <c r="K37" s="898"/>
      <c r="L37" s="272"/>
    </row>
    <row r="38" spans="1:12" s="276" customFormat="1" ht="15" customHeight="1" x14ac:dyDescent="0.3">
      <c r="A38" s="337">
        <f t="shared" si="0"/>
        <v>35</v>
      </c>
      <c r="B38" s="897" t="s">
        <v>446</v>
      </c>
      <c r="C38" s="897"/>
      <c r="D38" s="340"/>
      <c r="E38" s="338">
        <v>7620</v>
      </c>
      <c r="F38" s="274">
        <v>7620</v>
      </c>
      <c r="G38" s="274">
        <v>7620</v>
      </c>
      <c r="H38" s="274">
        <v>7620</v>
      </c>
      <c r="I38" s="884" t="s">
        <v>447</v>
      </c>
      <c r="J38" s="884"/>
      <c r="K38" s="884"/>
      <c r="L38" s="272"/>
    </row>
    <row r="39" spans="1:12" s="276" customFormat="1" ht="15" customHeight="1" x14ac:dyDescent="0.3">
      <c r="A39" s="337">
        <f t="shared" si="0"/>
        <v>36</v>
      </c>
      <c r="B39" s="897" t="s">
        <v>448</v>
      </c>
      <c r="C39" s="897"/>
      <c r="D39" s="340"/>
      <c r="E39" s="338">
        <v>3718882</v>
      </c>
      <c r="F39" s="274">
        <v>3718882</v>
      </c>
      <c r="G39" s="274">
        <v>3718882</v>
      </c>
      <c r="H39" s="274">
        <v>3718882</v>
      </c>
      <c r="I39" s="884" t="s">
        <v>449</v>
      </c>
      <c r="J39" s="884"/>
      <c r="K39" s="884"/>
      <c r="L39" s="272"/>
    </row>
    <row r="40" spans="1:12" s="276" customFormat="1" ht="15" customHeight="1" x14ac:dyDescent="0.3">
      <c r="A40" s="337">
        <f t="shared" si="0"/>
        <v>37</v>
      </c>
      <c r="B40" s="897" t="s">
        <v>571</v>
      </c>
      <c r="C40" s="897"/>
      <c r="D40" s="340"/>
      <c r="E40" s="338">
        <v>20806400</v>
      </c>
      <c r="F40" s="274"/>
      <c r="G40" s="274"/>
      <c r="H40" s="274"/>
      <c r="I40" s="893" t="s">
        <v>450</v>
      </c>
      <c r="J40" s="893"/>
      <c r="K40" s="893"/>
      <c r="L40" s="272"/>
    </row>
    <row r="41" spans="1:12" s="276" customFormat="1" ht="15" customHeight="1" x14ac:dyDescent="0.3">
      <c r="A41" s="337">
        <f t="shared" si="0"/>
        <v>38</v>
      </c>
      <c r="B41" s="898" t="s">
        <v>451</v>
      </c>
      <c r="C41" s="898"/>
      <c r="D41" s="340"/>
      <c r="E41" s="338">
        <v>600000</v>
      </c>
      <c r="F41" s="274">
        <v>600000</v>
      </c>
      <c r="G41" s="274">
        <v>600000</v>
      </c>
      <c r="H41" s="274">
        <v>600000</v>
      </c>
      <c r="I41" s="884" t="s">
        <v>452</v>
      </c>
      <c r="J41" s="884"/>
      <c r="K41" s="884"/>
      <c r="L41" s="272"/>
    </row>
    <row r="42" spans="1:12" s="276" customFormat="1" ht="15" customHeight="1" x14ac:dyDescent="0.3">
      <c r="A42" s="337">
        <f t="shared" si="0"/>
        <v>39</v>
      </c>
      <c r="B42" s="898" t="s">
        <v>572</v>
      </c>
      <c r="C42" s="898"/>
      <c r="D42" s="340" t="s">
        <v>573</v>
      </c>
      <c r="E42" s="338">
        <v>1500000</v>
      </c>
      <c r="F42" s="274">
        <v>1500000</v>
      </c>
      <c r="G42" s="274">
        <v>1500000</v>
      </c>
      <c r="H42" s="274">
        <v>1500000</v>
      </c>
      <c r="I42" s="884" t="s">
        <v>453</v>
      </c>
      <c r="J42" s="884"/>
      <c r="K42" s="884"/>
      <c r="L42" s="272"/>
    </row>
    <row r="43" spans="1:12" s="276" customFormat="1" ht="15" customHeight="1" x14ac:dyDescent="0.3">
      <c r="A43" s="337">
        <f t="shared" si="0"/>
        <v>40</v>
      </c>
      <c r="B43" s="898" t="s">
        <v>454</v>
      </c>
      <c r="C43" s="898"/>
      <c r="D43" s="340" t="s">
        <v>574</v>
      </c>
      <c r="E43" s="338">
        <v>1400000</v>
      </c>
      <c r="F43" s="274">
        <v>1400000</v>
      </c>
      <c r="G43" s="274">
        <v>1400000</v>
      </c>
      <c r="H43" s="274">
        <v>1400000</v>
      </c>
      <c r="I43" s="899" t="s">
        <v>455</v>
      </c>
      <c r="J43" s="899"/>
      <c r="K43" s="899"/>
      <c r="L43" s="272"/>
    </row>
    <row r="44" spans="1:12" s="276" customFormat="1" ht="15" customHeight="1" x14ac:dyDescent="0.3">
      <c r="A44" s="337">
        <f t="shared" si="0"/>
        <v>41</v>
      </c>
      <c r="B44" s="898" t="s">
        <v>575</v>
      </c>
      <c r="C44" s="898"/>
      <c r="D44" s="340"/>
      <c r="E44" s="338">
        <v>600000</v>
      </c>
      <c r="F44" s="274">
        <v>600000</v>
      </c>
      <c r="G44" s="274">
        <v>600000</v>
      </c>
      <c r="H44" s="274">
        <v>600000</v>
      </c>
      <c r="I44" s="899" t="s">
        <v>456</v>
      </c>
      <c r="J44" s="899"/>
      <c r="K44" s="899"/>
      <c r="L44" s="272"/>
    </row>
    <row r="45" spans="1:12" s="276" customFormat="1" ht="15" customHeight="1" x14ac:dyDescent="0.3">
      <c r="A45" s="337">
        <f t="shared" si="0"/>
        <v>42</v>
      </c>
      <c r="B45" s="894" t="s">
        <v>457</v>
      </c>
      <c r="C45" s="895"/>
      <c r="D45" s="340"/>
      <c r="E45" s="338">
        <v>400000</v>
      </c>
      <c r="F45" s="274">
        <v>400000</v>
      </c>
      <c r="G45" s="274">
        <v>400000</v>
      </c>
      <c r="H45" s="274">
        <v>400000</v>
      </c>
      <c r="I45" s="889" t="s">
        <v>458</v>
      </c>
      <c r="J45" s="890"/>
      <c r="K45" s="891"/>
      <c r="L45" s="272"/>
    </row>
    <row r="46" spans="1:12" s="276" customFormat="1" ht="15" customHeight="1" x14ac:dyDescent="0.3">
      <c r="A46" s="337">
        <f t="shared" si="0"/>
        <v>43</v>
      </c>
      <c r="B46" s="894" t="s">
        <v>459</v>
      </c>
      <c r="C46" s="895"/>
      <c r="D46" s="340"/>
      <c r="E46" s="338">
        <v>21762000</v>
      </c>
      <c r="F46" s="274"/>
      <c r="G46" s="274"/>
      <c r="H46" s="274"/>
      <c r="I46" s="893" t="s">
        <v>450</v>
      </c>
      <c r="J46" s="893"/>
      <c r="K46" s="893"/>
      <c r="L46" s="272"/>
    </row>
    <row r="47" spans="1:12" s="276" customFormat="1" ht="15" customHeight="1" x14ac:dyDescent="0.3">
      <c r="A47" s="337">
        <f t="shared" si="0"/>
        <v>44</v>
      </c>
      <c r="B47" s="894" t="s">
        <v>460</v>
      </c>
      <c r="C47" s="895"/>
      <c r="D47" s="340"/>
      <c r="E47" s="338">
        <v>80000</v>
      </c>
      <c r="F47" s="274">
        <v>80000</v>
      </c>
      <c r="G47" s="274">
        <v>80000</v>
      </c>
      <c r="H47" s="274">
        <v>80000</v>
      </c>
      <c r="I47" s="889" t="s">
        <v>461</v>
      </c>
      <c r="J47" s="890"/>
      <c r="K47" s="891"/>
      <c r="L47" s="272"/>
    </row>
    <row r="48" spans="1:12" s="276" customFormat="1" ht="15" customHeight="1" x14ac:dyDescent="0.3">
      <c r="A48" s="337">
        <f t="shared" si="0"/>
        <v>45</v>
      </c>
      <c r="B48" s="894" t="s">
        <v>462</v>
      </c>
      <c r="C48" s="895"/>
      <c r="D48" s="340"/>
      <c r="E48" s="338">
        <v>835000</v>
      </c>
      <c r="F48" s="274"/>
      <c r="G48" s="274"/>
      <c r="H48" s="274"/>
      <c r="I48" s="889" t="s">
        <v>463</v>
      </c>
      <c r="J48" s="890"/>
      <c r="K48" s="891"/>
      <c r="L48" s="272"/>
    </row>
    <row r="49" spans="1:12" s="276" customFormat="1" ht="15" customHeight="1" x14ac:dyDescent="0.3">
      <c r="A49" s="337">
        <f t="shared" si="0"/>
        <v>46</v>
      </c>
      <c r="B49" s="894" t="s">
        <v>464</v>
      </c>
      <c r="C49" s="895"/>
      <c r="D49" s="340"/>
      <c r="E49" s="338">
        <v>4700000</v>
      </c>
      <c r="F49" s="338">
        <v>4700000</v>
      </c>
      <c r="G49" s="338">
        <v>4700000</v>
      </c>
      <c r="H49" s="338">
        <v>4700000</v>
      </c>
      <c r="I49" s="889" t="s">
        <v>465</v>
      </c>
      <c r="J49" s="890"/>
      <c r="K49" s="891"/>
      <c r="L49" s="272"/>
    </row>
    <row r="50" spans="1:12" s="276" customFormat="1" ht="15" customHeight="1" x14ac:dyDescent="0.3">
      <c r="A50" s="337">
        <f t="shared" si="0"/>
        <v>47</v>
      </c>
      <c r="B50" s="894" t="s">
        <v>466</v>
      </c>
      <c r="C50" s="895"/>
      <c r="D50" s="340" t="s">
        <v>467</v>
      </c>
      <c r="E50" s="338">
        <v>1500000</v>
      </c>
      <c r="F50" s="274">
        <v>1500000</v>
      </c>
      <c r="G50" s="274">
        <v>1500000</v>
      </c>
      <c r="H50" s="274">
        <v>1500000</v>
      </c>
      <c r="I50" s="889" t="s">
        <v>468</v>
      </c>
      <c r="J50" s="890"/>
      <c r="K50" s="891"/>
      <c r="L50" s="272"/>
    </row>
    <row r="51" spans="1:12" s="276" customFormat="1" ht="15" customHeight="1" x14ac:dyDescent="0.3">
      <c r="A51" s="337">
        <f t="shared" si="0"/>
        <v>48</v>
      </c>
      <c r="B51" s="894" t="s">
        <v>466</v>
      </c>
      <c r="C51" s="895"/>
      <c r="D51" s="340" t="s">
        <v>469</v>
      </c>
      <c r="E51" s="338">
        <v>45720</v>
      </c>
      <c r="F51" s="274">
        <v>45720</v>
      </c>
      <c r="G51" s="274">
        <v>45720</v>
      </c>
      <c r="H51" s="274">
        <v>45720</v>
      </c>
      <c r="I51" s="889" t="s">
        <v>470</v>
      </c>
      <c r="J51" s="890"/>
      <c r="K51" s="891"/>
      <c r="L51" s="272"/>
    </row>
    <row r="52" spans="1:12" s="276" customFormat="1" ht="15" customHeight="1" x14ac:dyDescent="0.3">
      <c r="A52" s="337">
        <f t="shared" si="0"/>
        <v>49</v>
      </c>
      <c r="B52" s="894" t="s">
        <v>466</v>
      </c>
      <c r="C52" s="895"/>
      <c r="D52" s="340" t="s">
        <v>469</v>
      </c>
      <c r="E52" s="338">
        <v>45720</v>
      </c>
      <c r="F52" s="274">
        <v>45720</v>
      </c>
      <c r="G52" s="274">
        <v>45720</v>
      </c>
      <c r="H52" s="274">
        <v>45720</v>
      </c>
      <c r="I52" s="889" t="s">
        <v>471</v>
      </c>
      <c r="J52" s="890"/>
      <c r="K52" s="891"/>
      <c r="L52" s="272"/>
    </row>
    <row r="53" spans="1:12" s="276" customFormat="1" ht="15" customHeight="1" x14ac:dyDescent="0.3">
      <c r="A53" s="337">
        <f t="shared" si="0"/>
        <v>50</v>
      </c>
      <c r="B53" s="894" t="s">
        <v>466</v>
      </c>
      <c r="C53" s="895"/>
      <c r="D53" s="340" t="s">
        <v>469</v>
      </c>
      <c r="E53" s="338">
        <v>90000</v>
      </c>
      <c r="F53" s="274">
        <v>90000</v>
      </c>
      <c r="G53" s="274">
        <v>90000</v>
      </c>
      <c r="H53" s="274">
        <v>90000</v>
      </c>
      <c r="I53" s="889" t="s">
        <v>472</v>
      </c>
      <c r="J53" s="890"/>
      <c r="K53" s="891"/>
      <c r="L53" s="272"/>
    </row>
    <row r="54" spans="1:12" s="276" customFormat="1" ht="15" customHeight="1" x14ac:dyDescent="0.3">
      <c r="A54" s="337">
        <f t="shared" si="0"/>
        <v>51</v>
      </c>
      <c r="B54" s="894" t="s">
        <v>466</v>
      </c>
      <c r="C54" s="895"/>
      <c r="D54" s="340" t="s">
        <v>469</v>
      </c>
      <c r="E54" s="338">
        <v>90000</v>
      </c>
      <c r="F54" s="274">
        <v>90000</v>
      </c>
      <c r="G54" s="274">
        <v>90000</v>
      </c>
      <c r="H54" s="274">
        <v>90000</v>
      </c>
      <c r="I54" s="889" t="s">
        <v>473</v>
      </c>
      <c r="J54" s="890"/>
      <c r="K54" s="891"/>
      <c r="L54" s="272"/>
    </row>
    <row r="55" spans="1:12" s="276" customFormat="1" ht="15" customHeight="1" x14ac:dyDescent="0.3">
      <c r="A55" s="337">
        <f t="shared" si="0"/>
        <v>52</v>
      </c>
      <c r="B55" s="894" t="s">
        <v>474</v>
      </c>
      <c r="C55" s="895"/>
      <c r="D55" s="340"/>
      <c r="E55" s="338">
        <v>19000000</v>
      </c>
      <c r="F55" s="274"/>
      <c r="G55" s="274"/>
      <c r="H55" s="274"/>
      <c r="I55" s="889" t="s">
        <v>475</v>
      </c>
      <c r="J55" s="890"/>
      <c r="K55" s="891"/>
      <c r="L55" s="272"/>
    </row>
    <row r="56" spans="1:12" s="276" customFormat="1" ht="15" customHeight="1" x14ac:dyDescent="0.3">
      <c r="A56" s="337">
        <f t="shared" si="0"/>
        <v>53</v>
      </c>
      <c r="B56" s="894" t="s">
        <v>400</v>
      </c>
      <c r="C56" s="895"/>
      <c r="D56" s="340"/>
      <c r="E56" s="338">
        <v>1550000</v>
      </c>
      <c r="F56" s="274">
        <v>1550000</v>
      </c>
      <c r="G56" s="274">
        <v>1550000</v>
      </c>
      <c r="H56" s="274">
        <v>1550000</v>
      </c>
      <c r="I56" s="889" t="s">
        <v>401</v>
      </c>
      <c r="J56" s="890"/>
      <c r="K56" s="891"/>
      <c r="L56" s="272"/>
    </row>
    <row r="57" spans="1:12" s="276" customFormat="1" ht="15" customHeight="1" x14ac:dyDescent="0.3">
      <c r="A57" s="337">
        <f t="shared" si="0"/>
        <v>54</v>
      </c>
      <c r="B57" s="894" t="s">
        <v>576</v>
      </c>
      <c r="C57" s="895"/>
      <c r="D57" s="340"/>
      <c r="E57" s="338">
        <v>182880</v>
      </c>
      <c r="F57" s="274">
        <v>182880</v>
      </c>
      <c r="G57" s="274">
        <v>182880</v>
      </c>
      <c r="H57" s="274">
        <v>182880</v>
      </c>
      <c r="I57" s="889" t="s">
        <v>477</v>
      </c>
      <c r="J57" s="890"/>
      <c r="K57" s="891"/>
      <c r="L57" s="272"/>
    </row>
    <row r="58" spans="1:12" s="276" customFormat="1" ht="15" customHeight="1" x14ac:dyDescent="0.3">
      <c r="A58" s="337">
        <f t="shared" si="0"/>
        <v>55</v>
      </c>
      <c r="B58" s="894" t="s">
        <v>478</v>
      </c>
      <c r="C58" s="895"/>
      <c r="D58" s="340"/>
      <c r="E58" s="338">
        <v>2670048</v>
      </c>
      <c r="F58" s="274">
        <v>2670048</v>
      </c>
      <c r="G58" s="274">
        <v>2670048</v>
      </c>
      <c r="H58" s="274">
        <v>2670048</v>
      </c>
      <c r="I58" s="889" t="s">
        <v>479</v>
      </c>
      <c r="J58" s="890"/>
      <c r="K58" s="891"/>
      <c r="L58" s="272"/>
    </row>
    <row r="59" spans="1:12" s="276" customFormat="1" ht="15" customHeight="1" x14ac:dyDescent="0.3">
      <c r="A59" s="337">
        <f t="shared" si="0"/>
        <v>56</v>
      </c>
      <c r="B59" s="894" t="s">
        <v>577</v>
      </c>
      <c r="C59" s="895"/>
      <c r="D59" s="340"/>
      <c r="E59" s="338">
        <v>12155394</v>
      </c>
      <c r="F59" s="274"/>
      <c r="G59" s="274"/>
      <c r="H59" s="274"/>
      <c r="I59" s="889" t="s">
        <v>480</v>
      </c>
      <c r="J59" s="890"/>
      <c r="K59" s="891"/>
      <c r="L59" s="272"/>
    </row>
    <row r="60" spans="1:12" s="276" customFormat="1" ht="15" customHeight="1" x14ac:dyDescent="0.3">
      <c r="A60" s="337">
        <f t="shared" si="0"/>
        <v>57</v>
      </c>
      <c r="B60" s="894" t="s">
        <v>481</v>
      </c>
      <c r="C60" s="895"/>
      <c r="D60" s="340"/>
      <c r="E60" s="338">
        <v>49592</v>
      </c>
      <c r="F60" s="274">
        <v>49592</v>
      </c>
      <c r="G60" s="274">
        <v>49592</v>
      </c>
      <c r="H60" s="274">
        <v>49592</v>
      </c>
      <c r="I60" s="889" t="s">
        <v>482</v>
      </c>
      <c r="J60" s="890"/>
      <c r="K60" s="891"/>
      <c r="L60" s="272"/>
    </row>
    <row r="61" spans="1:12" s="276" customFormat="1" ht="15" customHeight="1" x14ac:dyDescent="0.3">
      <c r="A61" s="337">
        <f t="shared" si="0"/>
        <v>58</v>
      </c>
      <c r="B61" s="894" t="s">
        <v>483</v>
      </c>
      <c r="C61" s="895"/>
      <c r="D61" s="340" t="s">
        <v>578</v>
      </c>
      <c r="E61" s="338">
        <v>5280000</v>
      </c>
      <c r="F61" s="274"/>
      <c r="G61" s="274"/>
      <c r="H61" s="274"/>
      <c r="I61" s="889" t="s">
        <v>484</v>
      </c>
      <c r="J61" s="890"/>
      <c r="K61" s="891"/>
      <c r="L61" s="272"/>
    </row>
    <row r="62" spans="1:12" s="276" customFormat="1" ht="15" customHeight="1" x14ac:dyDescent="0.3">
      <c r="A62" s="337">
        <f t="shared" si="0"/>
        <v>59</v>
      </c>
      <c r="B62" s="894" t="s">
        <v>406</v>
      </c>
      <c r="C62" s="895"/>
      <c r="D62" s="340"/>
      <c r="E62" s="338">
        <v>165000</v>
      </c>
      <c r="F62" s="274">
        <v>165000</v>
      </c>
      <c r="G62" s="274">
        <v>165000</v>
      </c>
      <c r="H62" s="274">
        <v>165000</v>
      </c>
      <c r="I62" s="889" t="s">
        <v>407</v>
      </c>
      <c r="J62" s="890"/>
      <c r="K62" s="891"/>
      <c r="L62" s="272"/>
    </row>
    <row r="63" spans="1:12" s="276" customFormat="1" ht="15" customHeight="1" x14ac:dyDescent="0.3">
      <c r="A63" s="337">
        <f t="shared" si="0"/>
        <v>60</v>
      </c>
      <c r="B63" s="894" t="s">
        <v>485</v>
      </c>
      <c r="C63" s="895"/>
      <c r="D63" s="340"/>
      <c r="E63" s="338">
        <v>125000</v>
      </c>
      <c r="F63" s="274">
        <v>125000</v>
      </c>
      <c r="G63" s="274">
        <v>125000</v>
      </c>
      <c r="H63" s="274">
        <v>125000</v>
      </c>
      <c r="I63" s="889" t="s">
        <v>486</v>
      </c>
      <c r="J63" s="890"/>
      <c r="K63" s="891"/>
      <c r="L63" s="272"/>
    </row>
    <row r="64" spans="1:12" s="276" customFormat="1" ht="15" customHeight="1" x14ac:dyDescent="0.3">
      <c r="A64" s="337">
        <f t="shared" si="0"/>
        <v>61</v>
      </c>
      <c r="B64" s="894" t="s">
        <v>579</v>
      </c>
      <c r="C64" s="895"/>
      <c r="D64" s="340"/>
      <c r="E64" s="338">
        <v>180000</v>
      </c>
      <c r="F64" s="274">
        <v>180000</v>
      </c>
      <c r="G64" s="274">
        <v>180000</v>
      </c>
      <c r="H64" s="274">
        <v>180000</v>
      </c>
      <c r="I64" s="896" t="s">
        <v>411</v>
      </c>
      <c r="J64" s="896"/>
      <c r="K64" s="896"/>
      <c r="L64" s="272"/>
    </row>
    <row r="65" spans="1:12" s="276" customFormat="1" ht="15" customHeight="1" x14ac:dyDescent="0.3">
      <c r="A65" s="337">
        <f t="shared" si="0"/>
        <v>62</v>
      </c>
      <c r="B65" s="894" t="s">
        <v>487</v>
      </c>
      <c r="C65" s="895"/>
      <c r="D65" s="340"/>
      <c r="E65" s="338">
        <v>14500000</v>
      </c>
      <c r="F65" s="274"/>
      <c r="G65" s="274"/>
      <c r="H65" s="274"/>
      <c r="I65" s="889" t="s">
        <v>488</v>
      </c>
      <c r="J65" s="890"/>
      <c r="K65" s="891"/>
      <c r="L65" s="272"/>
    </row>
    <row r="66" spans="1:12" s="276" customFormat="1" ht="15" customHeight="1" x14ac:dyDescent="0.3">
      <c r="A66" s="337">
        <f t="shared" si="0"/>
        <v>63</v>
      </c>
      <c r="B66" s="894" t="s">
        <v>489</v>
      </c>
      <c r="C66" s="895"/>
      <c r="D66" s="340"/>
      <c r="E66" s="338">
        <v>3000000</v>
      </c>
      <c r="F66" s="274">
        <v>3000000</v>
      </c>
      <c r="G66" s="274">
        <v>3000000</v>
      </c>
      <c r="H66" s="274">
        <v>3000000</v>
      </c>
      <c r="I66" s="899" t="s">
        <v>490</v>
      </c>
      <c r="J66" s="899"/>
      <c r="K66" s="899"/>
      <c r="L66" s="272"/>
    </row>
    <row r="67" spans="1:12" s="276" customFormat="1" ht="15" customHeight="1" x14ac:dyDescent="0.3">
      <c r="A67" s="337">
        <f t="shared" si="0"/>
        <v>64</v>
      </c>
      <c r="B67" s="894" t="s">
        <v>491</v>
      </c>
      <c r="C67" s="895"/>
      <c r="D67" s="340"/>
      <c r="E67" s="338">
        <v>7500000</v>
      </c>
      <c r="F67" s="274">
        <v>7500000</v>
      </c>
      <c r="G67" s="274">
        <v>7500000</v>
      </c>
      <c r="H67" s="274">
        <v>7500000</v>
      </c>
      <c r="I67" s="889" t="s">
        <v>492</v>
      </c>
      <c r="J67" s="890"/>
      <c r="K67" s="891"/>
      <c r="L67" s="272"/>
    </row>
    <row r="68" spans="1:12" s="276" customFormat="1" ht="15" customHeight="1" x14ac:dyDescent="0.3">
      <c r="A68" s="337">
        <f t="shared" si="0"/>
        <v>65</v>
      </c>
      <c r="B68" s="894" t="s">
        <v>412</v>
      </c>
      <c r="C68" s="895"/>
      <c r="D68" s="340"/>
      <c r="E68" s="338">
        <v>845364</v>
      </c>
      <c r="F68" s="274">
        <v>845364</v>
      </c>
      <c r="G68" s="274">
        <v>845364</v>
      </c>
      <c r="H68" s="274">
        <v>845364</v>
      </c>
      <c r="I68" s="889" t="s">
        <v>413</v>
      </c>
      <c r="J68" s="890"/>
      <c r="K68" s="891"/>
      <c r="L68" s="272"/>
    </row>
    <row r="69" spans="1:12" s="276" customFormat="1" ht="15" customHeight="1" x14ac:dyDescent="0.3">
      <c r="A69" s="337">
        <f t="shared" si="0"/>
        <v>66</v>
      </c>
      <c r="B69" s="894" t="s">
        <v>493</v>
      </c>
      <c r="C69" s="895"/>
      <c r="D69" s="340"/>
      <c r="E69" s="338">
        <v>4500000</v>
      </c>
      <c r="F69" s="274">
        <v>4500000</v>
      </c>
      <c r="G69" s="274">
        <v>4500000</v>
      </c>
      <c r="H69" s="274">
        <v>4500000</v>
      </c>
      <c r="I69" s="889" t="s">
        <v>429</v>
      </c>
      <c r="J69" s="890"/>
      <c r="K69" s="891"/>
      <c r="L69" s="272"/>
    </row>
    <row r="70" spans="1:12" s="276" customFormat="1" ht="15" customHeight="1" x14ac:dyDescent="0.3">
      <c r="A70" s="337">
        <f t="shared" ref="A70:A98" si="1">A69+1</f>
        <v>67</v>
      </c>
      <c r="B70" s="912" t="s">
        <v>494</v>
      </c>
      <c r="C70" s="913"/>
      <c r="D70" s="340"/>
      <c r="E70" s="338">
        <v>1500000</v>
      </c>
      <c r="F70" s="274">
        <v>1500000</v>
      </c>
      <c r="G70" s="274">
        <v>1500000</v>
      </c>
      <c r="H70" s="274">
        <v>1500000</v>
      </c>
      <c r="I70" s="889" t="s">
        <v>495</v>
      </c>
      <c r="J70" s="890"/>
      <c r="K70" s="891"/>
      <c r="L70" s="272"/>
    </row>
    <row r="71" spans="1:12" s="276" customFormat="1" ht="15" customHeight="1" x14ac:dyDescent="0.3">
      <c r="A71" s="337">
        <f t="shared" si="1"/>
        <v>68</v>
      </c>
      <c r="B71" s="894" t="s">
        <v>496</v>
      </c>
      <c r="C71" s="895"/>
      <c r="D71" s="340"/>
      <c r="E71" s="338">
        <v>310000</v>
      </c>
      <c r="F71" s="274"/>
      <c r="G71" s="274"/>
      <c r="H71" s="274"/>
      <c r="I71" s="889" t="s">
        <v>497</v>
      </c>
      <c r="J71" s="890"/>
      <c r="K71" s="891"/>
      <c r="L71" s="272"/>
    </row>
    <row r="72" spans="1:12" s="276" customFormat="1" ht="15" customHeight="1" x14ac:dyDescent="0.3">
      <c r="A72" s="337">
        <f t="shared" si="1"/>
        <v>69</v>
      </c>
      <c r="B72" s="889" t="s">
        <v>416</v>
      </c>
      <c r="C72" s="891"/>
      <c r="D72" s="341" t="s">
        <v>417</v>
      </c>
      <c r="E72" s="338">
        <v>1828800</v>
      </c>
      <c r="F72" s="274">
        <v>1828800</v>
      </c>
      <c r="G72" s="274">
        <v>1828800</v>
      </c>
      <c r="H72" s="274">
        <v>1828800</v>
      </c>
      <c r="I72" s="899" t="s">
        <v>418</v>
      </c>
      <c r="J72" s="899"/>
      <c r="K72" s="899"/>
      <c r="L72" s="272"/>
    </row>
    <row r="73" spans="1:12" s="276" customFormat="1" ht="31.5" customHeight="1" x14ac:dyDescent="0.3">
      <c r="A73" s="337">
        <f t="shared" si="1"/>
        <v>70</v>
      </c>
      <c r="B73" s="894" t="s">
        <v>421</v>
      </c>
      <c r="C73" s="895"/>
      <c r="D73" s="341"/>
      <c r="E73" s="338">
        <v>480384</v>
      </c>
      <c r="F73" s="274">
        <v>480384</v>
      </c>
      <c r="G73" s="274">
        <v>480384</v>
      </c>
      <c r="H73" s="274">
        <v>480384</v>
      </c>
      <c r="I73" s="889" t="s">
        <v>422</v>
      </c>
      <c r="J73" s="890"/>
      <c r="K73" s="891"/>
      <c r="L73" s="272"/>
    </row>
    <row r="74" spans="1:12" s="276" customFormat="1" ht="15" customHeight="1" x14ac:dyDescent="0.3">
      <c r="A74" s="337">
        <f t="shared" si="1"/>
        <v>71</v>
      </c>
      <c r="B74" s="894" t="s">
        <v>498</v>
      </c>
      <c r="C74" s="895"/>
      <c r="D74" s="340"/>
      <c r="E74" s="338">
        <v>7000000</v>
      </c>
      <c r="F74" s="274"/>
      <c r="G74" s="274"/>
      <c r="H74" s="274"/>
      <c r="I74" s="889" t="s">
        <v>499</v>
      </c>
      <c r="J74" s="890"/>
      <c r="K74" s="891"/>
      <c r="L74" s="272"/>
    </row>
    <row r="75" spans="1:12" s="215" customFormat="1" ht="15" customHeight="1" x14ac:dyDescent="0.3">
      <c r="A75" s="337">
        <f t="shared" si="1"/>
        <v>72</v>
      </c>
      <c r="B75" s="894" t="s">
        <v>500</v>
      </c>
      <c r="C75" s="895"/>
      <c r="D75" s="340" t="s">
        <v>501</v>
      </c>
      <c r="E75" s="338">
        <v>198120</v>
      </c>
      <c r="F75" s="274">
        <v>198120</v>
      </c>
      <c r="G75" s="274">
        <v>198120</v>
      </c>
      <c r="H75" s="274">
        <v>198120</v>
      </c>
      <c r="I75" s="889" t="s">
        <v>502</v>
      </c>
      <c r="J75" s="890"/>
      <c r="K75" s="891"/>
      <c r="L75" s="272"/>
    </row>
    <row r="76" spans="1:12" s="215" customFormat="1" ht="15" customHeight="1" x14ac:dyDescent="0.3">
      <c r="A76" s="337">
        <f t="shared" si="1"/>
        <v>73</v>
      </c>
      <c r="B76" s="894" t="s">
        <v>503</v>
      </c>
      <c r="C76" s="895"/>
      <c r="D76" s="340"/>
      <c r="E76" s="338">
        <v>595860</v>
      </c>
      <c r="F76" s="274">
        <v>595860</v>
      </c>
      <c r="G76" s="274">
        <v>595860</v>
      </c>
      <c r="H76" s="274">
        <v>595860</v>
      </c>
      <c r="I76" s="889" t="s">
        <v>504</v>
      </c>
      <c r="J76" s="890"/>
      <c r="K76" s="891"/>
      <c r="L76" s="272"/>
    </row>
    <row r="77" spans="1:12" s="215" customFormat="1" ht="15" customHeight="1" x14ac:dyDescent="0.3">
      <c r="A77" s="337">
        <f t="shared" si="1"/>
        <v>74</v>
      </c>
      <c r="B77" s="894" t="s">
        <v>505</v>
      </c>
      <c r="C77" s="895"/>
      <c r="D77" s="340"/>
      <c r="E77" s="338">
        <v>108031</v>
      </c>
      <c r="F77" s="274">
        <v>108031</v>
      </c>
      <c r="G77" s="274">
        <v>108031</v>
      </c>
      <c r="H77" s="274">
        <v>108031</v>
      </c>
      <c r="I77" s="889" t="s">
        <v>506</v>
      </c>
      <c r="J77" s="890"/>
      <c r="K77" s="891"/>
      <c r="L77" s="272"/>
    </row>
    <row r="78" spans="1:12" s="215" customFormat="1" ht="15" customHeight="1" x14ac:dyDescent="0.3">
      <c r="A78" s="337">
        <f t="shared" si="1"/>
        <v>75</v>
      </c>
      <c r="B78" s="894" t="s">
        <v>507</v>
      </c>
      <c r="C78" s="895"/>
      <c r="D78" s="340" t="s">
        <v>580</v>
      </c>
      <c r="E78" s="338">
        <v>45948</v>
      </c>
      <c r="F78" s="274"/>
      <c r="G78" s="274"/>
      <c r="H78" s="274"/>
      <c r="I78" s="889" t="s">
        <v>508</v>
      </c>
      <c r="J78" s="890"/>
      <c r="K78" s="891"/>
      <c r="L78" s="272"/>
    </row>
    <row r="79" spans="1:12" s="215" customFormat="1" ht="15" customHeight="1" x14ac:dyDescent="0.3">
      <c r="A79" s="337">
        <f t="shared" si="1"/>
        <v>76</v>
      </c>
      <c r="B79" s="894" t="s">
        <v>509</v>
      </c>
      <c r="C79" s="895"/>
      <c r="D79" s="340"/>
      <c r="E79" s="338">
        <v>10100000</v>
      </c>
      <c r="F79" s="274">
        <v>10100000</v>
      </c>
      <c r="G79" s="274">
        <v>10100000</v>
      </c>
      <c r="H79" s="274">
        <v>10100000</v>
      </c>
      <c r="I79" s="889" t="s">
        <v>510</v>
      </c>
      <c r="J79" s="890"/>
      <c r="K79" s="891"/>
      <c r="L79" s="272"/>
    </row>
    <row r="80" spans="1:12" s="215" customFormat="1" ht="15" customHeight="1" x14ac:dyDescent="0.3">
      <c r="A80" s="337">
        <f t="shared" si="1"/>
        <v>77</v>
      </c>
      <c r="B80" s="894" t="s">
        <v>511</v>
      </c>
      <c r="C80" s="895"/>
      <c r="D80" s="340"/>
      <c r="E80" s="338">
        <v>251460</v>
      </c>
      <c r="F80" s="274"/>
      <c r="G80" s="274"/>
      <c r="H80" s="274"/>
      <c r="I80" s="889" t="s">
        <v>512</v>
      </c>
      <c r="J80" s="890"/>
      <c r="K80" s="891"/>
      <c r="L80" s="272"/>
    </row>
    <row r="81" spans="1:12" s="215" customFormat="1" ht="15" customHeight="1" x14ac:dyDescent="0.3">
      <c r="A81" s="337">
        <f t="shared" si="1"/>
        <v>78</v>
      </c>
      <c r="B81" s="894" t="s">
        <v>513</v>
      </c>
      <c r="C81" s="895"/>
      <c r="D81" s="340"/>
      <c r="E81" s="338">
        <v>355728</v>
      </c>
      <c r="F81" s="274">
        <v>355728</v>
      </c>
      <c r="G81" s="274">
        <v>355728</v>
      </c>
      <c r="H81" s="274">
        <v>355728</v>
      </c>
      <c r="I81" s="889" t="s">
        <v>514</v>
      </c>
      <c r="J81" s="890"/>
      <c r="K81" s="891"/>
      <c r="L81" s="272"/>
    </row>
    <row r="82" spans="1:12" s="215" customFormat="1" ht="15" customHeight="1" x14ac:dyDescent="0.3">
      <c r="A82" s="337">
        <f t="shared" si="1"/>
        <v>79</v>
      </c>
      <c r="B82" s="894" t="s">
        <v>515</v>
      </c>
      <c r="C82" s="895"/>
      <c r="D82" s="340"/>
      <c r="E82" s="338">
        <v>71628</v>
      </c>
      <c r="F82" s="274">
        <v>71628</v>
      </c>
      <c r="G82" s="274">
        <v>71628</v>
      </c>
      <c r="H82" s="274">
        <v>71628</v>
      </c>
      <c r="I82" s="889" t="s">
        <v>516</v>
      </c>
      <c r="J82" s="890"/>
      <c r="K82" s="891"/>
      <c r="L82" s="272"/>
    </row>
    <row r="83" spans="1:12" s="215" customFormat="1" ht="15" customHeight="1" x14ac:dyDescent="0.3">
      <c r="A83" s="337">
        <f t="shared" si="1"/>
        <v>80</v>
      </c>
      <c r="B83" s="894" t="s">
        <v>515</v>
      </c>
      <c r="C83" s="895"/>
      <c r="D83" s="340"/>
      <c r="E83" s="338">
        <v>685800</v>
      </c>
      <c r="F83" s="274">
        <v>685800</v>
      </c>
      <c r="G83" s="274">
        <v>685800</v>
      </c>
      <c r="H83" s="274">
        <v>685800</v>
      </c>
      <c r="I83" s="889" t="s">
        <v>517</v>
      </c>
      <c r="J83" s="890"/>
      <c r="K83" s="891"/>
      <c r="L83" s="272"/>
    </row>
    <row r="84" spans="1:12" s="215" customFormat="1" ht="15" customHeight="1" x14ac:dyDescent="0.3">
      <c r="A84" s="337">
        <f t="shared" si="1"/>
        <v>81</v>
      </c>
      <c r="B84" s="894" t="s">
        <v>515</v>
      </c>
      <c r="C84" s="895"/>
      <c r="D84" s="340"/>
      <c r="E84" s="338">
        <v>144780</v>
      </c>
      <c r="F84" s="274">
        <v>144780</v>
      </c>
      <c r="G84" s="274">
        <v>144780</v>
      </c>
      <c r="H84" s="274">
        <v>144780</v>
      </c>
      <c r="I84" s="889" t="s">
        <v>518</v>
      </c>
      <c r="J84" s="890"/>
      <c r="K84" s="891"/>
      <c r="L84" s="272"/>
    </row>
    <row r="85" spans="1:12" s="215" customFormat="1" ht="15" customHeight="1" x14ac:dyDescent="0.3">
      <c r="A85" s="337">
        <f t="shared" si="1"/>
        <v>82</v>
      </c>
      <c r="B85" s="894" t="s">
        <v>515</v>
      </c>
      <c r="C85" s="895"/>
      <c r="D85" s="340"/>
      <c r="E85" s="338">
        <v>134112</v>
      </c>
      <c r="F85" s="274">
        <v>134112</v>
      </c>
      <c r="G85" s="274">
        <v>134112</v>
      </c>
      <c r="H85" s="274">
        <v>134112</v>
      </c>
      <c r="I85" s="889" t="s">
        <v>519</v>
      </c>
      <c r="J85" s="890"/>
      <c r="K85" s="891"/>
      <c r="L85" s="272"/>
    </row>
    <row r="86" spans="1:12" s="215" customFormat="1" ht="15" customHeight="1" x14ac:dyDescent="0.3">
      <c r="A86" s="337">
        <f t="shared" si="1"/>
        <v>83</v>
      </c>
      <c r="B86" s="894" t="s">
        <v>564</v>
      </c>
      <c r="C86" s="895"/>
      <c r="D86" s="340"/>
      <c r="E86" s="338">
        <v>1200000</v>
      </c>
      <c r="F86" s="274">
        <v>1200000</v>
      </c>
      <c r="G86" s="274">
        <v>1200000</v>
      </c>
      <c r="H86" s="274">
        <v>1200000</v>
      </c>
      <c r="I86" s="889" t="s">
        <v>430</v>
      </c>
      <c r="J86" s="890"/>
      <c r="K86" s="891"/>
      <c r="L86" s="272"/>
    </row>
    <row r="87" spans="1:12" s="215" customFormat="1" ht="15" customHeight="1" x14ac:dyDescent="0.3">
      <c r="A87" s="337">
        <f t="shared" si="1"/>
        <v>84</v>
      </c>
      <c r="B87" s="894" t="s">
        <v>520</v>
      </c>
      <c r="C87" s="895"/>
      <c r="D87" s="340"/>
      <c r="E87" s="338">
        <v>228600</v>
      </c>
      <c r="F87" s="274">
        <v>228600</v>
      </c>
      <c r="G87" s="274">
        <v>228600</v>
      </c>
      <c r="H87" s="274">
        <v>228600</v>
      </c>
      <c r="I87" s="889" t="s">
        <v>521</v>
      </c>
      <c r="J87" s="890"/>
      <c r="K87" s="891"/>
      <c r="L87" s="272"/>
    </row>
    <row r="88" spans="1:12" s="215" customFormat="1" ht="15" customHeight="1" x14ac:dyDescent="0.3">
      <c r="A88" s="337">
        <f t="shared" si="1"/>
        <v>85</v>
      </c>
      <c r="B88" s="894" t="s">
        <v>565</v>
      </c>
      <c r="C88" s="895"/>
      <c r="D88" s="340"/>
      <c r="E88" s="338">
        <v>762000</v>
      </c>
      <c r="F88" s="274">
        <v>762000</v>
      </c>
      <c r="G88" s="274">
        <v>762000</v>
      </c>
      <c r="H88" s="274">
        <v>762000</v>
      </c>
      <c r="I88" s="889" t="s">
        <v>431</v>
      </c>
      <c r="J88" s="890"/>
      <c r="K88" s="891"/>
      <c r="L88" s="272"/>
    </row>
    <row r="89" spans="1:12" s="215" customFormat="1" ht="15" customHeight="1" x14ac:dyDescent="0.3">
      <c r="A89" s="337">
        <f t="shared" si="1"/>
        <v>86</v>
      </c>
      <c r="B89" s="894" t="s">
        <v>432</v>
      </c>
      <c r="C89" s="895"/>
      <c r="D89" s="340"/>
      <c r="E89" s="338">
        <v>130000</v>
      </c>
      <c r="F89" s="274">
        <v>130000</v>
      </c>
      <c r="G89" s="274">
        <v>130000</v>
      </c>
      <c r="H89" s="274">
        <v>130000</v>
      </c>
      <c r="I89" s="889" t="s">
        <v>433</v>
      </c>
      <c r="J89" s="890"/>
      <c r="K89" s="891"/>
      <c r="L89" s="272"/>
    </row>
    <row r="90" spans="1:12" s="215" customFormat="1" ht="20.25" customHeight="1" x14ac:dyDescent="0.3">
      <c r="A90" s="337">
        <f t="shared" si="1"/>
        <v>87</v>
      </c>
      <c r="B90" s="894" t="s">
        <v>522</v>
      </c>
      <c r="C90" s="895"/>
      <c r="D90" s="340"/>
      <c r="E90" s="338">
        <v>197140</v>
      </c>
      <c r="F90" s="274">
        <v>197140</v>
      </c>
      <c r="G90" s="274">
        <v>197140</v>
      </c>
      <c r="H90" s="274">
        <v>197140</v>
      </c>
      <c r="I90" s="889" t="s">
        <v>523</v>
      </c>
      <c r="J90" s="890"/>
      <c r="K90" s="891"/>
      <c r="L90" s="272"/>
    </row>
    <row r="91" spans="1:12" s="215" customFormat="1" ht="15" customHeight="1" x14ac:dyDescent="0.3">
      <c r="A91" s="337">
        <f t="shared" si="1"/>
        <v>88</v>
      </c>
      <c r="B91" s="894" t="s">
        <v>522</v>
      </c>
      <c r="C91" s="895"/>
      <c r="D91" s="340"/>
      <c r="E91" s="338">
        <v>3930</v>
      </c>
      <c r="F91" s="274">
        <v>3930</v>
      </c>
      <c r="G91" s="274">
        <v>3930</v>
      </c>
      <c r="H91" s="274">
        <v>3930</v>
      </c>
      <c r="I91" s="889" t="s">
        <v>524</v>
      </c>
      <c r="J91" s="890"/>
      <c r="K91" s="891"/>
      <c r="L91" s="272"/>
    </row>
    <row r="92" spans="1:12" s="215" customFormat="1" ht="15" customHeight="1" x14ac:dyDescent="0.3">
      <c r="A92" s="337">
        <f t="shared" si="1"/>
        <v>89</v>
      </c>
      <c r="B92" s="894" t="s">
        <v>434</v>
      </c>
      <c r="C92" s="895"/>
      <c r="D92" s="340"/>
      <c r="E92" s="338">
        <v>125000</v>
      </c>
      <c r="F92" s="274"/>
      <c r="G92" s="274"/>
      <c r="H92" s="274"/>
      <c r="I92" s="889" t="s">
        <v>525</v>
      </c>
      <c r="J92" s="890"/>
      <c r="K92" s="891"/>
      <c r="L92" s="272"/>
    </row>
    <row r="93" spans="1:12" s="215" customFormat="1" ht="15" customHeight="1" x14ac:dyDescent="0.3">
      <c r="A93" s="337">
        <f t="shared" si="1"/>
        <v>90</v>
      </c>
      <c r="B93" s="894" t="s">
        <v>434</v>
      </c>
      <c r="C93" s="895"/>
      <c r="D93" s="340"/>
      <c r="E93" s="338">
        <v>110000</v>
      </c>
      <c r="F93" s="274"/>
      <c r="G93" s="274"/>
      <c r="H93" s="274"/>
      <c r="I93" s="889" t="s">
        <v>526</v>
      </c>
      <c r="J93" s="890"/>
      <c r="K93" s="891"/>
      <c r="L93" s="272"/>
    </row>
    <row r="94" spans="1:12" s="215" customFormat="1" ht="15" customHeight="1" x14ac:dyDescent="0.3">
      <c r="A94" s="337">
        <f t="shared" si="1"/>
        <v>91</v>
      </c>
      <c r="B94" s="894" t="s">
        <v>434</v>
      </c>
      <c r="C94" s="895"/>
      <c r="D94" s="340"/>
      <c r="E94" s="338">
        <v>75000</v>
      </c>
      <c r="F94" s="274"/>
      <c r="G94" s="274"/>
      <c r="H94" s="274"/>
      <c r="I94" s="889" t="s">
        <v>527</v>
      </c>
      <c r="J94" s="890"/>
      <c r="K94" s="891"/>
      <c r="L94" s="272"/>
    </row>
    <row r="95" spans="1:12" s="215" customFormat="1" ht="15" customHeight="1" x14ac:dyDescent="0.3">
      <c r="A95" s="337">
        <f t="shared" si="1"/>
        <v>92</v>
      </c>
      <c r="B95" s="894" t="s">
        <v>434</v>
      </c>
      <c r="C95" s="895"/>
      <c r="D95" s="340"/>
      <c r="E95" s="338">
        <v>60000</v>
      </c>
      <c r="F95" s="274"/>
      <c r="G95" s="274"/>
      <c r="H95" s="274"/>
      <c r="I95" s="889" t="s">
        <v>528</v>
      </c>
      <c r="J95" s="890"/>
      <c r="K95" s="891"/>
      <c r="L95" s="272"/>
    </row>
    <row r="96" spans="1:12" s="215" customFormat="1" ht="15" customHeight="1" x14ac:dyDescent="0.3">
      <c r="A96" s="337">
        <f t="shared" si="1"/>
        <v>93</v>
      </c>
      <c r="B96" s="894" t="s">
        <v>434</v>
      </c>
      <c r="C96" s="895"/>
      <c r="D96" s="340"/>
      <c r="E96" s="338">
        <v>64000</v>
      </c>
      <c r="F96" s="274"/>
      <c r="G96" s="274"/>
      <c r="H96" s="274"/>
      <c r="I96" s="889" t="s">
        <v>529</v>
      </c>
      <c r="J96" s="890"/>
      <c r="K96" s="891"/>
      <c r="L96" s="272"/>
    </row>
    <row r="97" spans="1:24" s="215" customFormat="1" ht="15" customHeight="1" x14ac:dyDescent="0.3">
      <c r="A97" s="337">
        <f t="shared" si="1"/>
        <v>94</v>
      </c>
      <c r="B97" s="894" t="s">
        <v>530</v>
      </c>
      <c r="C97" s="895"/>
      <c r="D97" s="340"/>
      <c r="E97" s="338">
        <v>233000</v>
      </c>
      <c r="F97" s="274">
        <v>233000</v>
      </c>
      <c r="G97" s="274">
        <v>233000</v>
      </c>
      <c r="H97" s="274">
        <v>233000</v>
      </c>
      <c r="I97" s="889" t="s">
        <v>531</v>
      </c>
      <c r="J97" s="890"/>
      <c r="K97" s="891"/>
      <c r="L97" s="272"/>
    </row>
    <row r="98" spans="1:24" s="215" customFormat="1" ht="15" customHeight="1" x14ac:dyDescent="0.3">
      <c r="A98" s="337">
        <f t="shared" si="1"/>
        <v>95</v>
      </c>
      <c r="B98" s="894" t="s">
        <v>532</v>
      </c>
      <c r="C98" s="895"/>
      <c r="D98" s="340"/>
      <c r="E98" s="338">
        <v>2100000</v>
      </c>
      <c r="F98" s="274"/>
      <c r="G98" s="274"/>
      <c r="H98" s="274"/>
      <c r="I98" s="889" t="s">
        <v>533</v>
      </c>
      <c r="J98" s="890"/>
      <c r="K98" s="891"/>
      <c r="L98" s="272"/>
    </row>
    <row r="99" spans="1:24" s="215" customFormat="1" ht="15" customHeight="1" x14ac:dyDescent="0.3">
      <c r="A99" s="343">
        <v>96</v>
      </c>
      <c r="B99" s="914" t="s">
        <v>564</v>
      </c>
      <c r="C99" s="914"/>
      <c r="D99" s="344" t="s">
        <v>396</v>
      </c>
      <c r="E99" s="345">
        <f>12*9222</f>
        <v>110664</v>
      </c>
      <c r="F99" s="345">
        <f t="shared" ref="F99:H99" si="2">12*9222</f>
        <v>110664</v>
      </c>
      <c r="G99" s="345">
        <f t="shared" si="2"/>
        <v>110664</v>
      </c>
      <c r="H99" s="345">
        <f t="shared" si="2"/>
        <v>110664</v>
      </c>
      <c r="I99" s="915" t="s">
        <v>397</v>
      </c>
      <c r="J99" s="916"/>
      <c r="K99" s="917"/>
      <c r="L99" s="275"/>
    </row>
    <row r="100" spans="1:24" s="215" customFormat="1" ht="15" customHeight="1" x14ac:dyDescent="0.25">
      <c r="A100" s="272"/>
      <c r="B100" s="272"/>
      <c r="C100" s="272"/>
      <c r="D100" s="272"/>
      <c r="E100" s="200"/>
      <c r="F100" s="272"/>
      <c r="G100" s="272"/>
      <c r="H100" s="272"/>
      <c r="I100" s="272"/>
      <c r="J100" s="272"/>
      <c r="K100" s="272"/>
      <c r="L100" s="272"/>
    </row>
    <row r="101" spans="1:24" s="215" customFormat="1" ht="15" customHeight="1" x14ac:dyDescent="0.25">
      <c r="A101" s="272"/>
      <c r="B101" s="272"/>
      <c r="C101" s="272"/>
      <c r="D101" s="272"/>
      <c r="E101" s="200"/>
      <c r="F101" s="272"/>
      <c r="G101" s="272"/>
      <c r="H101" s="272"/>
      <c r="I101" s="272"/>
      <c r="J101" s="272"/>
      <c r="K101" s="272"/>
      <c r="L101" s="272"/>
    </row>
    <row r="102" spans="1:24" s="215" customFormat="1" ht="15" customHeight="1" x14ac:dyDescent="0.25">
      <c r="A102" s="139" t="s">
        <v>165</v>
      </c>
      <c r="B102" s="272"/>
      <c r="C102" s="272"/>
      <c r="D102" s="272"/>
      <c r="E102" s="200"/>
      <c r="F102" s="272"/>
      <c r="G102" s="272"/>
      <c r="H102" s="272"/>
      <c r="I102" s="272"/>
      <c r="J102" s="272"/>
      <c r="K102" s="272"/>
      <c r="L102" s="272"/>
    </row>
    <row r="103" spans="1:24" s="215" customFormat="1" ht="15" customHeight="1" x14ac:dyDescent="0.25">
      <c r="A103" s="139"/>
      <c r="B103" s="272"/>
      <c r="C103" s="272"/>
      <c r="D103" s="272"/>
      <c r="E103" s="200"/>
      <c r="F103" s="272"/>
      <c r="G103" s="272"/>
      <c r="H103" s="272"/>
      <c r="I103" s="272"/>
      <c r="J103" s="272"/>
      <c r="K103" s="272"/>
      <c r="L103" s="272"/>
    </row>
    <row r="104" spans="1:24" s="215" customFormat="1" ht="15" customHeight="1" x14ac:dyDescent="0.25">
      <c r="A104" s="139" t="s">
        <v>216</v>
      </c>
      <c r="B104" s="272"/>
      <c r="C104" s="272"/>
      <c r="D104" s="272"/>
      <c r="E104" s="200"/>
      <c r="F104" s="342" t="s">
        <v>581</v>
      </c>
      <c r="G104" s="272"/>
      <c r="H104" s="272"/>
      <c r="I104" s="272"/>
      <c r="J104" s="272"/>
      <c r="K104" s="139" t="s">
        <v>209</v>
      </c>
      <c r="L104" s="272"/>
    </row>
    <row r="105" spans="1:24" s="215" customFormat="1" ht="15" customHeight="1" x14ac:dyDescent="0.25">
      <c r="A105" s="272"/>
      <c r="B105" s="272"/>
      <c r="C105" s="272"/>
      <c r="D105" s="272"/>
      <c r="E105" s="200"/>
      <c r="F105" s="272"/>
      <c r="G105" s="272"/>
      <c r="H105" s="272"/>
      <c r="I105" s="272"/>
      <c r="J105" s="272"/>
      <c r="K105" s="272"/>
      <c r="L105" s="272"/>
    </row>
    <row r="106" spans="1:24" s="215" customFormat="1" ht="15" customHeight="1" x14ac:dyDescent="0.25">
      <c r="A106" s="272"/>
      <c r="B106" s="272"/>
      <c r="C106" s="272"/>
      <c r="D106" s="272"/>
      <c r="E106" s="200"/>
      <c r="F106" s="272"/>
      <c r="G106" s="272"/>
      <c r="H106" s="272"/>
      <c r="I106" s="272"/>
      <c r="J106" s="272"/>
      <c r="K106" s="272"/>
      <c r="L106" s="272"/>
      <c r="M106" s="214"/>
    </row>
    <row r="107" spans="1:24" x14ac:dyDescent="0.25">
      <c r="A107" s="139" t="s">
        <v>610</v>
      </c>
      <c r="M107" s="198"/>
    </row>
    <row r="108" spans="1:24" x14ac:dyDescent="0.25">
      <c r="M108" s="198"/>
    </row>
    <row r="109" spans="1:24" x14ac:dyDescent="0.25">
      <c r="M109" s="198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</row>
    <row r="110" spans="1:24" x14ac:dyDescent="0.25">
      <c r="M110" s="198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</row>
    <row r="111" spans="1:24" x14ac:dyDescent="0.25">
      <c r="M111" s="198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</row>
    <row r="112" spans="1:24" x14ac:dyDescent="0.25">
      <c r="M112" s="198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</row>
    <row r="113" spans="13:24" x14ac:dyDescent="0.25">
      <c r="M113" s="198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</row>
    <row r="114" spans="13:24" x14ac:dyDescent="0.25">
      <c r="M114" s="198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</row>
    <row r="115" spans="13:24" x14ac:dyDescent="0.25">
      <c r="M115" s="198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</row>
    <row r="116" spans="13:24" x14ac:dyDescent="0.25">
      <c r="M116" s="198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</row>
    <row r="117" spans="13:24" x14ac:dyDescent="0.25">
      <c r="M117" s="198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</row>
    <row r="118" spans="13:24" x14ac:dyDescent="0.25">
      <c r="M118" s="198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</row>
    <row r="119" spans="13:24" x14ac:dyDescent="0.25">
      <c r="M119" s="198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</row>
    <row r="120" spans="13:24" x14ac:dyDescent="0.25">
      <c r="M120" s="198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</row>
    <row r="121" spans="13:24" x14ac:dyDescent="0.25">
      <c r="M121" s="198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</row>
    <row r="122" spans="13:24" x14ac:dyDescent="0.25">
      <c r="M122" s="198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</row>
    <row r="123" spans="13:24" x14ac:dyDescent="0.25">
      <c r="M123" s="198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</row>
    <row r="124" spans="13:24" x14ac:dyDescent="0.25">
      <c r="M124" s="198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</row>
    <row r="125" spans="13:24" x14ac:dyDescent="0.25">
      <c r="M125" s="198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</row>
    <row r="126" spans="13:24" x14ac:dyDescent="0.25">
      <c r="M126" s="198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</row>
    <row r="127" spans="13:24" x14ac:dyDescent="0.25">
      <c r="M127" s="198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</row>
    <row r="128" spans="13:24" x14ac:dyDescent="0.25">
      <c r="M128" s="198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</row>
    <row r="129" spans="13:24" x14ac:dyDescent="0.25">
      <c r="M129" s="198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</row>
    <row r="130" spans="13:24" x14ac:dyDescent="0.25">
      <c r="M130" s="198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</row>
    <row r="131" spans="13:24" x14ac:dyDescent="0.25">
      <c r="M131" s="198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</row>
    <row r="132" spans="13:24" x14ac:dyDescent="0.25">
      <c r="M132" s="198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</row>
    <row r="133" spans="13:24" x14ac:dyDescent="0.25">
      <c r="M133" s="198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</row>
    <row r="134" spans="13:24" x14ac:dyDescent="0.25">
      <c r="M134" s="198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</row>
    <row r="135" spans="13:24" x14ac:dyDescent="0.25">
      <c r="M135" s="198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</row>
    <row r="136" spans="13:24" x14ac:dyDescent="0.25">
      <c r="M136" s="198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</row>
    <row r="137" spans="13:24" x14ac:dyDescent="0.25">
      <c r="M137" s="198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</row>
    <row r="138" spans="13:24" x14ac:dyDescent="0.25">
      <c r="M138" s="198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</row>
    <row r="139" spans="13:24" x14ac:dyDescent="0.25">
      <c r="M139" s="198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</row>
    <row r="140" spans="13:24" x14ac:dyDescent="0.25">
      <c r="M140" s="198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</row>
    <row r="141" spans="13:24" x14ac:dyDescent="0.25">
      <c r="M141" s="198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</row>
    <row r="142" spans="13:24" x14ac:dyDescent="0.25">
      <c r="M142" s="198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</row>
    <row r="143" spans="13:24" x14ac:dyDescent="0.25">
      <c r="M143" s="198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</row>
    <row r="144" spans="13:24" x14ac:dyDescent="0.25">
      <c r="M144" s="198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</row>
    <row r="145" spans="13:24" x14ac:dyDescent="0.25">
      <c r="M145" s="198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</row>
    <row r="146" spans="13:24" x14ac:dyDescent="0.25">
      <c r="M146" s="198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</row>
    <row r="147" spans="13:24" x14ac:dyDescent="0.25">
      <c r="M147" s="198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</row>
    <row r="148" spans="13:24" x14ac:dyDescent="0.25">
      <c r="M148" s="198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</row>
    <row r="149" spans="13:24" x14ac:dyDescent="0.25">
      <c r="M149" s="198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</row>
    <row r="150" spans="13:24" x14ac:dyDescent="0.25">
      <c r="M150" s="198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</row>
    <row r="151" spans="13:24" x14ac:dyDescent="0.25">
      <c r="M151" s="198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</row>
    <row r="152" spans="13:24" x14ac:dyDescent="0.25">
      <c r="M152" s="198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</row>
    <row r="153" spans="13:24" x14ac:dyDescent="0.25">
      <c r="M153" s="198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</row>
    <row r="154" spans="13:24" x14ac:dyDescent="0.25">
      <c r="M154" s="198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</row>
    <row r="155" spans="13:24" x14ac:dyDescent="0.25">
      <c r="M155" s="198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</row>
    <row r="156" spans="13:24" x14ac:dyDescent="0.25">
      <c r="M156" s="198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</row>
    <row r="157" spans="13:24" x14ac:dyDescent="0.25">
      <c r="M157" s="198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</row>
    <row r="158" spans="13:24" x14ac:dyDescent="0.25">
      <c r="M158" s="198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</row>
    <row r="159" spans="13:24" x14ac:dyDescent="0.25">
      <c r="M159" s="198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</row>
    <row r="160" spans="13:24" x14ac:dyDescent="0.25">
      <c r="M160" s="198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</row>
    <row r="161" spans="13:24" x14ac:dyDescent="0.25">
      <c r="M161" s="198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</row>
    <row r="162" spans="13:24" x14ac:dyDescent="0.25">
      <c r="M162" s="198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</row>
    <row r="163" spans="13:24" x14ac:dyDescent="0.25">
      <c r="M163" s="198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</row>
    <row r="164" spans="13:24" x14ac:dyDescent="0.25">
      <c r="M164" s="198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</row>
    <row r="165" spans="13:24" x14ac:dyDescent="0.25">
      <c r="M165" s="198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</row>
    <row r="166" spans="13:24" x14ac:dyDescent="0.25">
      <c r="M166" s="198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</row>
    <row r="167" spans="13:24" x14ac:dyDescent="0.25">
      <c r="M167" s="198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</row>
    <row r="168" spans="13:24" x14ac:dyDescent="0.25">
      <c r="M168" s="198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</row>
    <row r="169" spans="13:24" x14ac:dyDescent="0.25">
      <c r="M169" s="198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</row>
    <row r="170" spans="13:24" x14ac:dyDescent="0.25">
      <c r="M170" s="198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</row>
    <row r="171" spans="13:24" x14ac:dyDescent="0.25">
      <c r="M171" s="198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</row>
    <row r="172" spans="13:24" x14ac:dyDescent="0.25">
      <c r="M172" s="198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</row>
    <row r="173" spans="13:24" x14ac:dyDescent="0.25">
      <c r="M173" s="198"/>
      <c r="N173" s="140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</row>
    <row r="174" spans="13:24" x14ac:dyDescent="0.25">
      <c r="M174" s="198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</row>
    <row r="175" spans="13:24" x14ac:dyDescent="0.25">
      <c r="M175" s="198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</row>
    <row r="176" spans="13:24" x14ac:dyDescent="0.25">
      <c r="M176" s="198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</row>
    <row r="177" spans="13:24" x14ac:dyDescent="0.25">
      <c r="M177" s="198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</row>
    <row r="178" spans="13:24" x14ac:dyDescent="0.25">
      <c r="M178" s="198"/>
      <c r="N178" s="140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</row>
    <row r="179" spans="13:24" x14ac:dyDescent="0.25">
      <c r="M179" s="198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</row>
    <row r="180" spans="13:24" x14ac:dyDescent="0.25">
      <c r="M180" s="198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</row>
    <row r="181" spans="13:24" x14ac:dyDescent="0.25">
      <c r="M181" s="198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</row>
    <row r="182" spans="13:24" x14ac:dyDescent="0.25">
      <c r="M182" s="198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</row>
    <row r="183" spans="13:24" x14ac:dyDescent="0.25">
      <c r="M183" s="198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</row>
    <row r="184" spans="13:24" x14ac:dyDescent="0.25">
      <c r="M184" s="198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</row>
    <row r="185" spans="13:24" x14ac:dyDescent="0.25">
      <c r="M185" s="198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</row>
    <row r="186" spans="13:24" x14ac:dyDescent="0.25">
      <c r="M186" s="198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</row>
    <row r="187" spans="13:24" x14ac:dyDescent="0.25">
      <c r="M187" s="198"/>
      <c r="N187" s="140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</row>
    <row r="188" spans="13:24" x14ac:dyDescent="0.25">
      <c r="M188" s="198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</row>
    <row r="189" spans="13:24" x14ac:dyDescent="0.25">
      <c r="M189" s="198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</row>
    <row r="190" spans="13:24" x14ac:dyDescent="0.25">
      <c r="M190" s="198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</row>
    <row r="191" spans="13:24" x14ac:dyDescent="0.25">
      <c r="M191" s="198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</row>
    <row r="192" spans="13:24" x14ac:dyDescent="0.25">
      <c r="M192" s="198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</row>
    <row r="193" spans="13:24" x14ac:dyDescent="0.25">
      <c r="M193" s="198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</row>
    <row r="194" spans="13:24" x14ac:dyDescent="0.25">
      <c r="M194" s="198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</row>
    <row r="195" spans="13:24" x14ac:dyDescent="0.25">
      <c r="M195" s="198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</row>
    <row r="196" spans="13:24" x14ac:dyDescent="0.25">
      <c r="M196" s="198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</row>
    <row r="197" spans="13:24" x14ac:dyDescent="0.25">
      <c r="M197" s="198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</row>
    <row r="198" spans="13:24" x14ac:dyDescent="0.25">
      <c r="M198" s="198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</row>
    <row r="199" spans="13:24" x14ac:dyDescent="0.25">
      <c r="M199" s="198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</row>
    <row r="200" spans="13:24" x14ac:dyDescent="0.25">
      <c r="M200" s="198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</row>
    <row r="201" spans="13:24" x14ac:dyDescent="0.25">
      <c r="M201" s="198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</row>
    <row r="202" spans="13:24" x14ac:dyDescent="0.25">
      <c r="M202" s="198"/>
      <c r="N202" s="140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</row>
    <row r="203" spans="13:24" x14ac:dyDescent="0.25">
      <c r="M203" s="198"/>
      <c r="N203" s="140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</row>
    <row r="204" spans="13:24" x14ac:dyDescent="0.25">
      <c r="M204" s="198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</row>
    <row r="205" spans="13:24" x14ac:dyDescent="0.25">
      <c r="M205" s="198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</row>
    <row r="206" spans="13:24" x14ac:dyDescent="0.25">
      <c r="M206" s="198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</row>
    <row r="207" spans="13:24" x14ac:dyDescent="0.25">
      <c r="M207" s="198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</row>
    <row r="208" spans="13:24" x14ac:dyDescent="0.25">
      <c r="M208" s="198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</row>
    <row r="209" spans="13:24" x14ac:dyDescent="0.25">
      <c r="M209" s="198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</row>
    <row r="210" spans="13:24" x14ac:dyDescent="0.25">
      <c r="M210" s="198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</row>
    <row r="211" spans="13:24" x14ac:dyDescent="0.25">
      <c r="M211" s="198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</row>
    <row r="212" spans="13:24" x14ac:dyDescent="0.25">
      <c r="M212" s="198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</row>
    <row r="213" spans="13:24" x14ac:dyDescent="0.25">
      <c r="M213" s="198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</row>
    <row r="214" spans="13:24" x14ac:dyDescent="0.25">
      <c r="M214" s="198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</row>
    <row r="215" spans="13:24" x14ac:dyDescent="0.25">
      <c r="M215" s="198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</row>
    <row r="216" spans="13:24" x14ac:dyDescent="0.25">
      <c r="M216" s="198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</row>
    <row r="217" spans="13:24" x14ac:dyDescent="0.25">
      <c r="M217" s="198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</row>
    <row r="218" spans="13:24" x14ac:dyDescent="0.25">
      <c r="M218" s="198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</row>
    <row r="219" spans="13:24" x14ac:dyDescent="0.25">
      <c r="M219" s="198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</row>
    <row r="220" spans="13:24" x14ac:dyDescent="0.25">
      <c r="M220" s="198"/>
      <c r="N220" s="140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</row>
    <row r="221" spans="13:24" x14ac:dyDescent="0.25">
      <c r="M221" s="198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</row>
    <row r="222" spans="13:24" x14ac:dyDescent="0.25">
      <c r="M222" s="198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</row>
    <row r="223" spans="13:24" x14ac:dyDescent="0.25">
      <c r="M223" s="198"/>
      <c r="N223" s="140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</row>
    <row r="224" spans="13:24" x14ac:dyDescent="0.25">
      <c r="M224" s="198"/>
      <c r="N224" s="140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</row>
    <row r="225" spans="13:24" x14ac:dyDescent="0.25">
      <c r="M225" s="198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</row>
    <row r="226" spans="13:24" x14ac:dyDescent="0.25">
      <c r="M226" s="198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</row>
    <row r="227" spans="13:24" x14ac:dyDescent="0.25">
      <c r="M227" s="198"/>
      <c r="N227" s="140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</row>
    <row r="228" spans="13:24" x14ac:dyDescent="0.25">
      <c r="M228" s="198"/>
      <c r="N228" s="140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</row>
    <row r="229" spans="13:24" x14ac:dyDescent="0.25">
      <c r="M229" s="198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</row>
    <row r="230" spans="13:24" x14ac:dyDescent="0.25">
      <c r="M230" s="198"/>
      <c r="N230" s="140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</row>
    <row r="231" spans="13:24" x14ac:dyDescent="0.25">
      <c r="M231" s="198"/>
      <c r="N231" s="140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</row>
    <row r="232" spans="13:24" x14ac:dyDescent="0.25">
      <c r="M232" s="198"/>
      <c r="N232" s="140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</row>
    <row r="233" spans="13:24" x14ac:dyDescent="0.25">
      <c r="M233" s="198"/>
      <c r="N233" s="140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</row>
    <row r="234" spans="13:24" x14ac:dyDescent="0.25">
      <c r="M234" s="198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</row>
    <row r="235" spans="13:24" x14ac:dyDescent="0.25">
      <c r="M235" s="198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</row>
    <row r="236" spans="13:24" x14ac:dyDescent="0.25">
      <c r="M236" s="198"/>
      <c r="N236" s="140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</row>
    <row r="237" spans="13:24" x14ac:dyDescent="0.25">
      <c r="M237" s="198"/>
      <c r="N237" s="140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</row>
    <row r="238" spans="13:24" x14ac:dyDescent="0.25">
      <c r="M238" s="198"/>
      <c r="N238" s="140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</row>
    <row r="239" spans="13:24" x14ac:dyDescent="0.25">
      <c r="M239" s="198"/>
      <c r="N239" s="140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</row>
    <row r="240" spans="13:24" x14ac:dyDescent="0.25">
      <c r="M240" s="198"/>
      <c r="N240" s="140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</row>
    <row r="241" spans="13:24" x14ac:dyDescent="0.25">
      <c r="M241" s="198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</row>
    <row r="242" spans="13:24" x14ac:dyDescent="0.25">
      <c r="M242" s="198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</row>
    <row r="243" spans="13:24" x14ac:dyDescent="0.25">
      <c r="M243" s="198"/>
      <c r="N243" s="140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</row>
    <row r="244" spans="13:24" x14ac:dyDescent="0.25">
      <c r="M244" s="198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</row>
    <row r="245" spans="13:24" x14ac:dyDescent="0.25">
      <c r="M245" s="198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</row>
    <row r="246" spans="13:24" x14ac:dyDescent="0.25">
      <c r="M246" s="198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</row>
    <row r="247" spans="13:24" x14ac:dyDescent="0.25">
      <c r="M247" s="198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</row>
    <row r="248" spans="13:24" x14ac:dyDescent="0.25">
      <c r="M248" s="198"/>
      <c r="N248" s="140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</row>
    <row r="249" spans="13:24" x14ac:dyDescent="0.25">
      <c r="M249" s="198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</row>
    <row r="250" spans="13:24" x14ac:dyDescent="0.25">
      <c r="M250" s="198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</row>
    <row r="251" spans="13:24" x14ac:dyDescent="0.25">
      <c r="M251" s="198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</row>
    <row r="252" spans="13:24" x14ac:dyDescent="0.25">
      <c r="M252" s="198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</row>
    <row r="253" spans="13:24" x14ac:dyDescent="0.25">
      <c r="M253" s="198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</row>
    <row r="254" spans="13:24" x14ac:dyDescent="0.25">
      <c r="M254" s="198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</row>
    <row r="255" spans="13:24" x14ac:dyDescent="0.25">
      <c r="M255" s="198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</row>
    <row r="256" spans="13:24" x14ac:dyDescent="0.25">
      <c r="M256" s="198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</row>
    <row r="257" spans="13:24" x14ac:dyDescent="0.25">
      <c r="M257" s="198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</row>
    <row r="258" spans="13:24" x14ac:dyDescent="0.25">
      <c r="M258" s="198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</row>
    <row r="259" spans="13:24" x14ac:dyDescent="0.25">
      <c r="M259" s="198"/>
      <c r="N259" s="140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</row>
    <row r="260" spans="13:24" x14ac:dyDescent="0.25">
      <c r="M260" s="198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</row>
    <row r="261" spans="13:24" x14ac:dyDescent="0.25">
      <c r="M261" s="198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</row>
    <row r="262" spans="13:24" x14ac:dyDescent="0.25">
      <c r="M262" s="198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</row>
    <row r="263" spans="13:24" x14ac:dyDescent="0.25">
      <c r="M263" s="198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</row>
    <row r="264" spans="13:24" x14ac:dyDescent="0.25">
      <c r="M264" s="198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</row>
    <row r="265" spans="13:24" x14ac:dyDescent="0.25">
      <c r="M265" s="198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</row>
    <row r="266" spans="13:24" x14ac:dyDescent="0.25">
      <c r="M266" s="198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</row>
    <row r="267" spans="13:24" x14ac:dyDescent="0.25">
      <c r="M267" s="198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</row>
    <row r="268" spans="13:24" x14ac:dyDescent="0.25">
      <c r="M268" s="198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</row>
    <row r="269" spans="13:24" x14ac:dyDescent="0.25">
      <c r="M269" s="198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</row>
    <row r="270" spans="13:24" x14ac:dyDescent="0.25">
      <c r="M270" s="198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</row>
    <row r="271" spans="13:24" x14ac:dyDescent="0.25">
      <c r="M271" s="198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</row>
    <row r="272" spans="13:24" x14ac:dyDescent="0.25">
      <c r="M272" s="198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</row>
    <row r="273" spans="13:24" x14ac:dyDescent="0.25">
      <c r="M273" s="198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</row>
    <row r="274" spans="13:24" x14ac:dyDescent="0.25">
      <c r="M274" s="198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</row>
    <row r="275" spans="13:24" x14ac:dyDescent="0.25">
      <c r="M275" s="198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</row>
    <row r="276" spans="13:24" x14ac:dyDescent="0.25">
      <c r="M276" s="198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</row>
    <row r="277" spans="13:24" x14ac:dyDescent="0.25">
      <c r="M277" s="198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</row>
    <row r="278" spans="13:24" x14ac:dyDescent="0.25">
      <c r="M278" s="198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</row>
    <row r="279" spans="13:24" x14ac:dyDescent="0.25">
      <c r="M279" s="198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</row>
    <row r="280" spans="13:24" x14ac:dyDescent="0.25">
      <c r="M280" s="198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</row>
    <row r="281" spans="13:24" x14ac:dyDescent="0.25">
      <c r="M281" s="198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</row>
    <row r="282" spans="13:24" x14ac:dyDescent="0.25">
      <c r="M282" s="198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</row>
    <row r="283" spans="13:24" x14ac:dyDescent="0.25">
      <c r="M283" s="198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</row>
    <row r="284" spans="13:24" x14ac:dyDescent="0.25">
      <c r="M284" s="198"/>
      <c r="N284" s="140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</row>
    <row r="285" spans="13:24" x14ac:dyDescent="0.25">
      <c r="M285" s="198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</row>
    <row r="286" spans="13:24" x14ac:dyDescent="0.25">
      <c r="M286" s="198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</row>
    <row r="287" spans="13:24" x14ac:dyDescent="0.25">
      <c r="M287" s="198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</row>
    <row r="288" spans="13:24" x14ac:dyDescent="0.25">
      <c r="M288" s="198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</row>
    <row r="289" spans="13:24" x14ac:dyDescent="0.25">
      <c r="M289" s="198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</row>
    <row r="290" spans="13:24" x14ac:dyDescent="0.25">
      <c r="M290" s="198"/>
      <c r="N290" s="140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</row>
    <row r="291" spans="13:24" x14ac:dyDescent="0.25">
      <c r="M291" s="198"/>
      <c r="N291" s="140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</row>
    <row r="292" spans="13:24" x14ac:dyDescent="0.25">
      <c r="M292" s="198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</row>
    <row r="293" spans="13:24" x14ac:dyDescent="0.25">
      <c r="M293" s="198"/>
      <c r="N293" s="140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</row>
    <row r="294" spans="13:24" x14ac:dyDescent="0.25">
      <c r="M294" s="198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</row>
    <row r="295" spans="13:24" x14ac:dyDescent="0.25">
      <c r="M295" s="198"/>
      <c r="N295" s="140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</row>
    <row r="296" spans="13:24" x14ac:dyDescent="0.25">
      <c r="M296" s="198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</row>
    <row r="297" spans="13:24" x14ac:dyDescent="0.25">
      <c r="M297" s="198"/>
      <c r="N297" s="140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</row>
    <row r="298" spans="13:24" x14ac:dyDescent="0.25">
      <c r="M298" s="198"/>
      <c r="N298" s="140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</row>
    <row r="299" spans="13:24" x14ac:dyDescent="0.25">
      <c r="M299" s="198"/>
      <c r="N299" s="140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</row>
    <row r="300" spans="13:24" x14ac:dyDescent="0.25">
      <c r="M300" s="198"/>
      <c r="N300" s="140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</row>
    <row r="301" spans="13:24" x14ac:dyDescent="0.25">
      <c r="M301" s="198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</row>
    <row r="302" spans="13:24" x14ac:dyDescent="0.25">
      <c r="M302" s="198"/>
      <c r="N302" s="140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</row>
    <row r="303" spans="13:24" x14ac:dyDescent="0.25">
      <c r="M303" s="198"/>
      <c r="N303" s="140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</row>
    <row r="304" spans="13:24" x14ac:dyDescent="0.25">
      <c r="M304" s="198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</row>
    <row r="305" spans="13:24" x14ac:dyDescent="0.25">
      <c r="M305" s="198"/>
      <c r="N305" s="140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</row>
    <row r="306" spans="13:24" x14ac:dyDescent="0.25">
      <c r="M306" s="198"/>
      <c r="N306" s="140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</row>
    <row r="307" spans="13:24" x14ac:dyDescent="0.25">
      <c r="M307" s="198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</row>
    <row r="308" spans="13:24" x14ac:dyDescent="0.25">
      <c r="M308" s="198"/>
      <c r="N308" s="140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</row>
    <row r="309" spans="13:24" x14ac:dyDescent="0.25">
      <c r="M309" s="198"/>
      <c r="N309" s="140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</row>
    <row r="310" spans="13:24" x14ac:dyDescent="0.25">
      <c r="M310" s="198"/>
      <c r="N310" s="140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</row>
    <row r="311" spans="13:24" x14ac:dyDescent="0.25">
      <c r="M311" s="198"/>
      <c r="N311" s="140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</row>
    <row r="312" spans="13:24" x14ac:dyDescent="0.25">
      <c r="M312" s="198"/>
      <c r="N312" s="140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</row>
    <row r="313" spans="13:24" x14ac:dyDescent="0.25">
      <c r="M313" s="198"/>
      <c r="N313" s="140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</row>
    <row r="314" spans="13:24" x14ac:dyDescent="0.25">
      <c r="M314" s="198"/>
      <c r="N314" s="140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</row>
    <row r="315" spans="13:24" x14ac:dyDescent="0.25">
      <c r="M315" s="198"/>
      <c r="N315" s="140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</row>
    <row r="316" spans="13:24" x14ac:dyDescent="0.25">
      <c r="M316" s="198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</row>
    <row r="317" spans="13:24" x14ac:dyDescent="0.25">
      <c r="M317" s="198"/>
      <c r="N317" s="140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</row>
    <row r="318" spans="13:24" x14ac:dyDescent="0.25">
      <c r="M318" s="198"/>
      <c r="N318" s="140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</row>
    <row r="319" spans="13:24" x14ac:dyDescent="0.25">
      <c r="M319" s="198"/>
      <c r="N319" s="140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</row>
    <row r="320" spans="13:24" x14ac:dyDescent="0.25">
      <c r="M320" s="198"/>
      <c r="N320" s="140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</row>
    <row r="321" spans="13:24" x14ac:dyDescent="0.25">
      <c r="M321" s="198"/>
      <c r="N321" s="140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</row>
    <row r="322" spans="13:24" x14ac:dyDescent="0.25">
      <c r="M322" s="198"/>
      <c r="N322" s="140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</row>
    <row r="323" spans="13:24" x14ac:dyDescent="0.25">
      <c r="M323" s="198"/>
      <c r="N323" s="140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</row>
    <row r="324" spans="13:24" x14ac:dyDescent="0.25">
      <c r="M324" s="198"/>
      <c r="N324" s="140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</row>
    <row r="325" spans="13:24" x14ac:dyDescent="0.25">
      <c r="M325" s="198"/>
      <c r="N325" s="140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</row>
    <row r="326" spans="13:24" x14ac:dyDescent="0.25">
      <c r="M326" s="198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</row>
    <row r="327" spans="13:24" x14ac:dyDescent="0.25">
      <c r="M327" s="198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</row>
    <row r="328" spans="13:24" x14ac:dyDescent="0.25">
      <c r="M328" s="198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</row>
    <row r="329" spans="13:24" x14ac:dyDescent="0.25">
      <c r="M329" s="198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</row>
    <row r="330" spans="13:24" x14ac:dyDescent="0.25">
      <c r="M330" s="198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</row>
    <row r="331" spans="13:24" x14ac:dyDescent="0.25">
      <c r="M331" s="198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</row>
    <row r="332" spans="13:24" x14ac:dyDescent="0.25">
      <c r="M332" s="198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</row>
    <row r="333" spans="13:24" x14ac:dyDescent="0.25">
      <c r="M333" s="198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</row>
    <row r="334" spans="13:24" x14ac:dyDescent="0.25">
      <c r="M334" s="198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</row>
    <row r="335" spans="13:24" x14ac:dyDescent="0.25">
      <c r="M335" s="198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</row>
    <row r="336" spans="13:24" x14ac:dyDescent="0.25">
      <c r="M336" s="198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</row>
    <row r="337" spans="13:24" x14ac:dyDescent="0.25">
      <c r="M337" s="198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</row>
    <row r="338" spans="13:24" x14ac:dyDescent="0.25">
      <c r="M338" s="198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</row>
    <row r="339" spans="13:24" x14ac:dyDescent="0.25">
      <c r="M339" s="198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</row>
    <row r="340" spans="13:24" x14ac:dyDescent="0.25">
      <c r="M340" s="198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</row>
    <row r="341" spans="13:24" x14ac:dyDescent="0.25">
      <c r="M341" s="198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</row>
    <row r="342" spans="13:24" x14ac:dyDescent="0.25">
      <c r="M342" s="198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</row>
    <row r="343" spans="13:24" x14ac:dyDescent="0.25">
      <c r="M343" s="198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</row>
    <row r="344" spans="13:24" x14ac:dyDescent="0.25">
      <c r="M344" s="198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</row>
    <row r="345" spans="13:24" x14ac:dyDescent="0.25">
      <c r="M345" s="198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</row>
    <row r="346" spans="13:24" x14ac:dyDescent="0.25">
      <c r="M346" s="198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</row>
    <row r="347" spans="13:24" x14ac:dyDescent="0.25">
      <c r="M347" s="198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</row>
    <row r="348" spans="13:24" x14ac:dyDescent="0.25">
      <c r="M348" s="198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</row>
    <row r="349" spans="13:24" x14ac:dyDescent="0.25">
      <c r="M349" s="198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</row>
    <row r="350" spans="13:24" x14ac:dyDescent="0.25">
      <c r="M350" s="198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</row>
    <row r="351" spans="13:24" x14ac:dyDescent="0.25">
      <c r="M351" s="198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</row>
    <row r="352" spans="13:24" x14ac:dyDescent="0.25">
      <c r="M352" s="198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</row>
    <row r="353" spans="13:24" x14ac:dyDescent="0.25">
      <c r="M353" s="198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</row>
    <row r="354" spans="13:24" x14ac:dyDescent="0.25"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</row>
    <row r="355" spans="13:24" x14ac:dyDescent="0.25"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</row>
    <row r="356" spans="13:24" x14ac:dyDescent="0.25"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</row>
    <row r="357" spans="13:24" x14ac:dyDescent="0.25"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</row>
    <row r="358" spans="13:24" x14ac:dyDescent="0.25"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</row>
    <row r="359" spans="13:24" x14ac:dyDescent="0.25"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</row>
    <row r="360" spans="13:24" x14ac:dyDescent="0.25"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</row>
    <row r="361" spans="13:24" x14ac:dyDescent="0.25"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</row>
    <row r="362" spans="13:24" x14ac:dyDescent="0.25"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</row>
    <row r="363" spans="13:24" x14ac:dyDescent="0.25"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</row>
    <row r="364" spans="13:24" x14ac:dyDescent="0.25"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</row>
    <row r="365" spans="13:24" x14ac:dyDescent="0.25"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</row>
    <row r="366" spans="13:24" x14ac:dyDescent="0.25"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</row>
    <row r="367" spans="13:24" x14ac:dyDescent="0.25"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</row>
    <row r="368" spans="13:24" x14ac:dyDescent="0.25"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</row>
    <row r="369" spans="13:24" x14ac:dyDescent="0.25"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</row>
    <row r="370" spans="13:24" x14ac:dyDescent="0.25"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</row>
    <row r="371" spans="13:24" x14ac:dyDescent="0.25"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</row>
    <row r="372" spans="13:24" x14ac:dyDescent="0.25"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</row>
    <row r="373" spans="13:24" x14ac:dyDescent="0.25">
      <c r="M373" s="140"/>
      <c r="N373" s="140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</row>
    <row r="374" spans="13:24" x14ac:dyDescent="0.25"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</row>
    <row r="375" spans="13:24" x14ac:dyDescent="0.25"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</row>
    <row r="376" spans="13:24" x14ac:dyDescent="0.25"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</row>
    <row r="377" spans="13:24" x14ac:dyDescent="0.25"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</row>
    <row r="378" spans="13:24" x14ac:dyDescent="0.25"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</row>
    <row r="379" spans="13:24" x14ac:dyDescent="0.25">
      <c r="M379" s="140"/>
      <c r="N379" s="140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</row>
    <row r="380" spans="13:24" x14ac:dyDescent="0.25"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</row>
    <row r="381" spans="13:24" x14ac:dyDescent="0.25"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</row>
    <row r="382" spans="13:24" x14ac:dyDescent="0.25"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</row>
    <row r="383" spans="13:24" x14ac:dyDescent="0.25"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</row>
    <row r="384" spans="13:24" x14ac:dyDescent="0.25"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</row>
    <row r="385" spans="13:24" x14ac:dyDescent="0.25"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</row>
    <row r="386" spans="13:24" x14ac:dyDescent="0.25"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</row>
    <row r="387" spans="13:24" x14ac:dyDescent="0.25"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</row>
    <row r="388" spans="13:24" x14ac:dyDescent="0.25"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</row>
    <row r="389" spans="13:24" x14ac:dyDescent="0.25"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</row>
    <row r="390" spans="13:24" x14ac:dyDescent="0.25"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</row>
    <row r="391" spans="13:24" x14ac:dyDescent="0.25"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</row>
    <row r="392" spans="13:24" x14ac:dyDescent="0.25"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</row>
    <row r="393" spans="13:24" x14ac:dyDescent="0.25"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</row>
    <row r="394" spans="13:24" x14ac:dyDescent="0.25"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</row>
    <row r="395" spans="13:24" x14ac:dyDescent="0.25"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</row>
    <row r="396" spans="13:24" x14ac:dyDescent="0.25"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</row>
    <row r="397" spans="13:24" x14ac:dyDescent="0.25"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</row>
    <row r="398" spans="13:24" x14ac:dyDescent="0.25"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</row>
    <row r="399" spans="13:24" x14ac:dyDescent="0.25"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</row>
    <row r="400" spans="13:24" x14ac:dyDescent="0.25"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</row>
    <row r="401" spans="13:24" x14ac:dyDescent="0.25"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</row>
    <row r="402" spans="13:24" x14ac:dyDescent="0.25"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</row>
    <row r="403" spans="13:24" x14ac:dyDescent="0.25"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</row>
    <row r="404" spans="13:24" x14ac:dyDescent="0.25"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</row>
    <row r="405" spans="13:24" x14ac:dyDescent="0.25"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</row>
    <row r="406" spans="13:24" x14ac:dyDescent="0.25"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</row>
    <row r="407" spans="13:24" x14ac:dyDescent="0.25"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</row>
    <row r="408" spans="13:24" x14ac:dyDescent="0.25"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</row>
    <row r="409" spans="13:24" x14ac:dyDescent="0.25"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</row>
    <row r="410" spans="13:24" x14ac:dyDescent="0.25"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</row>
    <row r="411" spans="13:24" x14ac:dyDescent="0.25"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</row>
    <row r="412" spans="13:24" x14ac:dyDescent="0.25"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</row>
    <row r="413" spans="13:24" x14ac:dyDescent="0.25"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</row>
    <row r="414" spans="13:24" x14ac:dyDescent="0.25"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</row>
    <row r="415" spans="13:24" x14ac:dyDescent="0.25"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</row>
    <row r="416" spans="13:24" x14ac:dyDescent="0.25"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</row>
    <row r="417" spans="13:24" x14ac:dyDescent="0.25"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</row>
    <row r="418" spans="13:24" x14ac:dyDescent="0.25"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</row>
    <row r="419" spans="13:24" x14ac:dyDescent="0.25"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</row>
    <row r="420" spans="13:24" x14ac:dyDescent="0.25"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</row>
    <row r="421" spans="13:24" x14ac:dyDescent="0.25"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</row>
    <row r="422" spans="13:24" x14ac:dyDescent="0.25">
      <c r="M422" s="140"/>
      <c r="N422" s="140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</row>
    <row r="423" spans="13:24" x14ac:dyDescent="0.25"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</row>
    <row r="424" spans="13:24" x14ac:dyDescent="0.25"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</row>
    <row r="425" spans="13:24" x14ac:dyDescent="0.25"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</row>
    <row r="426" spans="13:24" x14ac:dyDescent="0.25"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</row>
    <row r="427" spans="13:24" x14ac:dyDescent="0.25"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</row>
    <row r="428" spans="13:24" x14ac:dyDescent="0.25">
      <c r="M428" s="140"/>
      <c r="N428" s="140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</row>
    <row r="429" spans="13:24" x14ac:dyDescent="0.25">
      <c r="M429" s="140"/>
      <c r="N429" s="140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</row>
    <row r="430" spans="13:24" x14ac:dyDescent="0.25">
      <c r="M430" s="140"/>
      <c r="N430" s="140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</row>
    <row r="431" spans="13:24" x14ac:dyDescent="0.25">
      <c r="M431" s="140"/>
      <c r="N431" s="140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</row>
    <row r="432" spans="13:24" x14ac:dyDescent="0.25">
      <c r="M432" s="140"/>
      <c r="N432" s="140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</row>
    <row r="433" spans="13:24" x14ac:dyDescent="0.25"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</row>
    <row r="434" spans="13:24" x14ac:dyDescent="0.25">
      <c r="M434" s="140"/>
      <c r="N434" s="140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</row>
    <row r="435" spans="13:24" x14ac:dyDescent="0.25">
      <c r="M435" s="140"/>
      <c r="N435" s="140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</row>
    <row r="436" spans="13:24" x14ac:dyDescent="0.25"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</row>
    <row r="437" spans="13:24" x14ac:dyDescent="0.25"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</row>
    <row r="438" spans="13:24" x14ac:dyDescent="0.25"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</row>
    <row r="439" spans="13:24" x14ac:dyDescent="0.25"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</row>
    <row r="440" spans="13:24" x14ac:dyDescent="0.25"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</row>
    <row r="441" spans="13:24" x14ac:dyDescent="0.25"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</row>
    <row r="442" spans="13:24" x14ac:dyDescent="0.25"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</row>
    <row r="443" spans="13:24" x14ac:dyDescent="0.25"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</row>
    <row r="444" spans="13:24" x14ac:dyDescent="0.25"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</row>
    <row r="445" spans="13:24" x14ac:dyDescent="0.25"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</row>
    <row r="446" spans="13:24" x14ac:dyDescent="0.25"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</row>
    <row r="447" spans="13:24" x14ac:dyDescent="0.25">
      <c r="M447" s="140"/>
      <c r="N447" s="140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</row>
    <row r="448" spans="13:24" x14ac:dyDescent="0.25">
      <c r="M448" s="140"/>
      <c r="N448" s="140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</row>
    <row r="449" spans="13:24" x14ac:dyDescent="0.25"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</row>
    <row r="450" spans="13:24" x14ac:dyDescent="0.25">
      <c r="M450" s="140"/>
      <c r="N450" s="140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</row>
    <row r="451" spans="13:24" x14ac:dyDescent="0.25"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</row>
    <row r="452" spans="13:24" x14ac:dyDescent="0.25"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</row>
    <row r="453" spans="13:24" x14ac:dyDescent="0.25"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</row>
    <row r="454" spans="13:24" x14ac:dyDescent="0.25"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</row>
    <row r="455" spans="13:24" x14ac:dyDescent="0.25"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</row>
    <row r="456" spans="13:24" x14ac:dyDescent="0.25"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</row>
    <row r="457" spans="13:24" x14ac:dyDescent="0.25"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</row>
    <row r="458" spans="13:24" x14ac:dyDescent="0.25"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</row>
    <row r="459" spans="13:24" x14ac:dyDescent="0.25"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</row>
    <row r="460" spans="13:24" x14ac:dyDescent="0.25"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</row>
    <row r="461" spans="13:24" x14ac:dyDescent="0.25"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</row>
    <row r="462" spans="13:24" x14ac:dyDescent="0.25">
      <c r="M462" s="140"/>
      <c r="N462" s="140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</row>
    <row r="463" spans="13:24" x14ac:dyDescent="0.25"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</row>
    <row r="464" spans="13:24" x14ac:dyDescent="0.25"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</row>
    <row r="465" spans="13:24" x14ac:dyDescent="0.25"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</row>
    <row r="466" spans="13:24" x14ac:dyDescent="0.25"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</row>
    <row r="467" spans="13:24" x14ac:dyDescent="0.25"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</row>
    <row r="468" spans="13:24" x14ac:dyDescent="0.25"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</row>
    <row r="469" spans="13:24" x14ac:dyDescent="0.25"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</row>
    <row r="470" spans="13:24" x14ac:dyDescent="0.25"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</row>
    <row r="471" spans="13:24" x14ac:dyDescent="0.25"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</row>
    <row r="472" spans="13:24" x14ac:dyDescent="0.25"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</row>
    <row r="473" spans="13:24" x14ac:dyDescent="0.25"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</row>
    <row r="474" spans="13:24" x14ac:dyDescent="0.25"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</row>
    <row r="475" spans="13:24" x14ac:dyDescent="0.25"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</row>
    <row r="476" spans="13:24" x14ac:dyDescent="0.25"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</row>
    <row r="477" spans="13:24" x14ac:dyDescent="0.25">
      <c r="M477" s="140"/>
      <c r="N477" s="140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</row>
    <row r="478" spans="13:24" x14ac:dyDescent="0.25">
      <c r="M478" s="140"/>
      <c r="N478" s="140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</row>
    <row r="479" spans="13:24" x14ac:dyDescent="0.25">
      <c r="M479" s="140"/>
      <c r="N479" s="140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</row>
    <row r="480" spans="13:24" x14ac:dyDescent="0.25">
      <c r="M480" s="140"/>
      <c r="N480" s="140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</row>
    <row r="481" spans="13:24" x14ac:dyDescent="0.25">
      <c r="M481" s="140"/>
      <c r="N481" s="140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</row>
    <row r="482" spans="13:24" x14ac:dyDescent="0.25">
      <c r="M482" s="140"/>
      <c r="N482" s="140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</row>
    <row r="483" spans="13:24" x14ac:dyDescent="0.25">
      <c r="M483" s="140"/>
      <c r="N483" s="140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</row>
    <row r="484" spans="13:24" x14ac:dyDescent="0.25">
      <c r="M484" s="140"/>
      <c r="N484" s="140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</row>
    <row r="485" spans="13:24" x14ac:dyDescent="0.25">
      <c r="M485" s="140"/>
      <c r="N485" s="140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</row>
    <row r="486" spans="13:24" x14ac:dyDescent="0.25">
      <c r="M486" s="140"/>
      <c r="N486" s="140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</row>
    <row r="487" spans="13:24" x14ac:dyDescent="0.25">
      <c r="M487" s="140"/>
      <c r="N487" s="140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</row>
    <row r="488" spans="13:24" x14ac:dyDescent="0.25">
      <c r="M488" s="140"/>
      <c r="N488" s="140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</row>
    <row r="489" spans="13:24" x14ac:dyDescent="0.25"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</row>
    <row r="490" spans="13:24" x14ac:dyDescent="0.25">
      <c r="M490" s="140"/>
      <c r="N490" s="140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</row>
    <row r="491" spans="13:24" x14ac:dyDescent="0.25"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</row>
    <row r="492" spans="13:24" x14ac:dyDescent="0.25">
      <c r="M492" s="140"/>
      <c r="N492" s="140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</row>
    <row r="493" spans="13:24" x14ac:dyDescent="0.25">
      <c r="M493" s="140"/>
      <c r="N493" s="140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</row>
    <row r="494" spans="13:24" x14ac:dyDescent="0.25">
      <c r="M494" s="140"/>
      <c r="N494" s="140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</row>
    <row r="495" spans="13:24" x14ac:dyDescent="0.25"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</row>
    <row r="496" spans="13:24" x14ac:dyDescent="0.25">
      <c r="M496" s="140"/>
      <c r="N496" s="140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</row>
    <row r="497" spans="13:24" x14ac:dyDescent="0.25">
      <c r="M497" s="140"/>
      <c r="N497" s="140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</row>
    <row r="498" spans="13:24" x14ac:dyDescent="0.25">
      <c r="M498" s="140"/>
      <c r="N498" s="140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</row>
    <row r="499" spans="13:24" x14ac:dyDescent="0.25">
      <c r="M499" s="140"/>
      <c r="N499" s="140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</row>
    <row r="500" spans="13:24" x14ac:dyDescent="0.25"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</row>
    <row r="501" spans="13:24" x14ac:dyDescent="0.25">
      <c r="M501" s="140"/>
      <c r="N501" s="140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</row>
    <row r="502" spans="13:24" x14ac:dyDescent="0.25"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</row>
    <row r="503" spans="13:24" x14ac:dyDescent="0.25">
      <c r="M503" s="140"/>
      <c r="N503" s="140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</row>
    <row r="504" spans="13:24" x14ac:dyDescent="0.25">
      <c r="M504" s="140"/>
      <c r="N504" s="140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</row>
    <row r="505" spans="13:24" x14ac:dyDescent="0.25">
      <c r="M505" s="140"/>
      <c r="N505" s="140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</row>
    <row r="506" spans="13:24" x14ac:dyDescent="0.25">
      <c r="M506" s="140"/>
      <c r="N506" s="140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</row>
    <row r="507" spans="13:24" x14ac:dyDescent="0.25">
      <c r="M507" s="140"/>
      <c r="N507" s="140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</row>
    <row r="508" spans="13:24" x14ac:dyDescent="0.25">
      <c r="M508" s="140"/>
      <c r="N508" s="140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</row>
  </sheetData>
  <mergeCells count="194">
    <mergeCell ref="I79:K79"/>
    <mergeCell ref="I80:K80"/>
    <mergeCell ref="I81:K81"/>
    <mergeCell ref="I82:K82"/>
    <mergeCell ref="B76:C76"/>
    <mergeCell ref="B95:C95"/>
    <mergeCell ref="I95:K95"/>
    <mergeCell ref="B78:C78"/>
    <mergeCell ref="B96:C96"/>
    <mergeCell ref="I96:K96"/>
    <mergeCell ref="B97:C97"/>
    <mergeCell ref="I97:K97"/>
    <mergeCell ref="B98:C98"/>
    <mergeCell ref="I98:K98"/>
    <mergeCell ref="I85:K85"/>
    <mergeCell ref="I87:K87"/>
    <mergeCell ref="I91:K91"/>
    <mergeCell ref="I92:K92"/>
    <mergeCell ref="I93:K93"/>
    <mergeCell ref="I94:K94"/>
    <mergeCell ref="B91:C91"/>
    <mergeCell ref="B92:C92"/>
    <mergeCell ref="B93:C93"/>
    <mergeCell ref="B94:C94"/>
    <mergeCell ref="B88:C88"/>
    <mergeCell ref="I88:K88"/>
    <mergeCell ref="B90:C90"/>
    <mergeCell ref="I90:K90"/>
    <mergeCell ref="B85:C85"/>
    <mergeCell ref="B87:C87"/>
    <mergeCell ref="B99:C99"/>
    <mergeCell ref="I99:K99"/>
    <mergeCell ref="I67:K67"/>
    <mergeCell ref="I68:K68"/>
    <mergeCell ref="I83:K83"/>
    <mergeCell ref="I84:K84"/>
    <mergeCell ref="B79:C79"/>
    <mergeCell ref="B80:C80"/>
    <mergeCell ref="B81:C81"/>
    <mergeCell ref="B82:C82"/>
    <mergeCell ref="B83:C83"/>
    <mergeCell ref="B84:C84"/>
    <mergeCell ref="I69:K69"/>
    <mergeCell ref="I70:K70"/>
    <mergeCell ref="I78:K78"/>
    <mergeCell ref="B71:C71"/>
    <mergeCell ref="I71:K71"/>
    <mergeCell ref="I72:K72"/>
    <mergeCell ref="I73:K73"/>
    <mergeCell ref="I74:K74"/>
    <mergeCell ref="I75:K75"/>
    <mergeCell ref="I76:K76"/>
    <mergeCell ref="B72:C72"/>
    <mergeCell ref="B73:C73"/>
    <mergeCell ref="B74:C74"/>
    <mergeCell ref="B75:C75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B65:C65"/>
    <mergeCell ref="B66:C66"/>
    <mergeCell ref="B67:C67"/>
    <mergeCell ref="B68:C68"/>
    <mergeCell ref="B69:C69"/>
    <mergeCell ref="B70:C70"/>
    <mergeCell ref="B57:C57"/>
    <mergeCell ref="B53:C53"/>
    <mergeCell ref="I53:K53"/>
    <mergeCell ref="I52:K52"/>
    <mergeCell ref="I50:K50"/>
    <mergeCell ref="B51:C51"/>
    <mergeCell ref="I51:K51"/>
    <mergeCell ref="B52:C52"/>
    <mergeCell ref="I57:K57"/>
    <mergeCell ref="B37:C37"/>
    <mergeCell ref="I37:K37"/>
    <mergeCell ref="B32:C32"/>
    <mergeCell ref="B35:C35"/>
    <mergeCell ref="I35:K35"/>
    <mergeCell ref="B36:C36"/>
    <mergeCell ref="I36:K36"/>
    <mergeCell ref="B33:C33"/>
    <mergeCell ref="I33:K33"/>
    <mergeCell ref="B34:C34"/>
    <mergeCell ref="I34:K34"/>
    <mergeCell ref="I32:K32"/>
    <mergeCell ref="B38:C38"/>
    <mergeCell ref="I38:K38"/>
    <mergeCell ref="B39:C39"/>
    <mergeCell ref="I39:K39"/>
    <mergeCell ref="B86:C86"/>
    <mergeCell ref="I86:K86"/>
    <mergeCell ref="B77:C77"/>
    <mergeCell ref="B89:C89"/>
    <mergeCell ref="I89:K89"/>
    <mergeCell ref="B45:C45"/>
    <mergeCell ref="B44:C44"/>
    <mergeCell ref="I44:K44"/>
    <mergeCell ref="I45:K45"/>
    <mergeCell ref="I46:K46"/>
    <mergeCell ref="B50:C50"/>
    <mergeCell ref="B58:C58"/>
    <mergeCell ref="B59:C59"/>
    <mergeCell ref="B60:C60"/>
    <mergeCell ref="B61:C61"/>
    <mergeCell ref="B62:C62"/>
    <mergeCell ref="B63:C63"/>
    <mergeCell ref="B64:C64"/>
    <mergeCell ref="B41:C41"/>
    <mergeCell ref="I41:K41"/>
    <mergeCell ref="B20:C20"/>
    <mergeCell ref="I20:K20"/>
    <mergeCell ref="I22:K22"/>
    <mergeCell ref="B9:C9"/>
    <mergeCell ref="I9:K9"/>
    <mergeCell ref="B10:C10"/>
    <mergeCell ref="B11:C11"/>
    <mergeCell ref="I11:K11"/>
    <mergeCell ref="B12:C12"/>
    <mergeCell ref="I12:K12"/>
    <mergeCell ref="I10:K10"/>
    <mergeCell ref="B13:C13"/>
    <mergeCell ref="I13:K13"/>
    <mergeCell ref="B21:C21"/>
    <mergeCell ref="B17:C17"/>
    <mergeCell ref="I17:K17"/>
    <mergeCell ref="I18:K18"/>
    <mergeCell ref="B19:C19"/>
    <mergeCell ref="I19:K19"/>
    <mergeCell ref="B18:C18"/>
    <mergeCell ref="I21:K21"/>
    <mergeCell ref="B48:C48"/>
    <mergeCell ref="B47:C47"/>
    <mergeCell ref="B46:C46"/>
    <mergeCell ref="I47:K47"/>
    <mergeCell ref="I48:K48"/>
    <mergeCell ref="I49:K49"/>
    <mergeCell ref="I54:K54"/>
    <mergeCell ref="I55:K55"/>
    <mergeCell ref="I56:K56"/>
    <mergeCell ref="B3:C3"/>
    <mergeCell ref="I3:K3"/>
    <mergeCell ref="B4:C4"/>
    <mergeCell ref="B5:C5"/>
    <mergeCell ref="B6:C6"/>
    <mergeCell ref="B7:C7"/>
    <mergeCell ref="B8:C8"/>
    <mergeCell ref="B30:C30"/>
    <mergeCell ref="B29:C29"/>
    <mergeCell ref="B28:C28"/>
    <mergeCell ref="B27:C27"/>
    <mergeCell ref="I29:K29"/>
    <mergeCell ref="I30:K30"/>
    <mergeCell ref="B22:C22"/>
    <mergeCell ref="I27:K27"/>
    <mergeCell ref="I28:K28"/>
    <mergeCell ref="I26:K26"/>
    <mergeCell ref="B26:C26"/>
    <mergeCell ref="B23:C23"/>
    <mergeCell ref="I23:K23"/>
    <mergeCell ref="B24:C24"/>
    <mergeCell ref="I24:K24"/>
    <mergeCell ref="B25:C25"/>
    <mergeCell ref="I25:K25"/>
    <mergeCell ref="I4:K4"/>
    <mergeCell ref="I5:K5"/>
    <mergeCell ref="I6:K6"/>
    <mergeCell ref="I7:K7"/>
    <mergeCell ref="I8:K8"/>
    <mergeCell ref="B31:C31"/>
    <mergeCell ref="I31:K31"/>
    <mergeCell ref="I77:K77"/>
    <mergeCell ref="I40:K40"/>
    <mergeCell ref="B14:C14"/>
    <mergeCell ref="I14:K14"/>
    <mergeCell ref="B15:C15"/>
    <mergeCell ref="I15:K15"/>
    <mergeCell ref="B16:C16"/>
    <mergeCell ref="I16:K16"/>
    <mergeCell ref="B40:C40"/>
    <mergeCell ref="B42:C42"/>
    <mergeCell ref="I42:K42"/>
    <mergeCell ref="B43:C43"/>
    <mergeCell ref="I43:K43"/>
    <mergeCell ref="B56:C56"/>
    <mergeCell ref="B55:C55"/>
    <mergeCell ref="B54:C54"/>
    <mergeCell ref="B49:C49"/>
  </mergeCells>
  <pageMargins left="0.74803149606299213" right="0.74803149606299213" top="0.98425196850393704" bottom="0.98425196850393704" header="0.51181102362204722" footer="0.51181102362204722"/>
  <pageSetup paperSize="8" scale="96" fitToHeight="0" orientation="landscape" r:id="rId1"/>
  <headerFooter alignWithMargins="0"/>
  <rowBreaks count="1" manualBreakCount="1">
    <brk id="99" max="10" man="1"/>
  </rowBreaks>
  <colBreaks count="1" manualBreakCount="1">
    <brk id="12" max="10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DE92-D36D-4085-A20A-215A854920DE}">
  <dimension ref="A1:K4"/>
  <sheetViews>
    <sheetView workbookViewId="0">
      <selection activeCell="J8" sqref="J8"/>
    </sheetView>
  </sheetViews>
  <sheetFormatPr defaultRowHeight="13.2" x14ac:dyDescent="0.25"/>
  <sheetData>
    <row r="1" spans="1:11" x14ac:dyDescent="0.25">
      <c r="A1" s="139" t="s">
        <v>736</v>
      </c>
      <c r="B1" s="198"/>
      <c r="C1" s="198"/>
      <c r="D1" s="198"/>
      <c r="E1" s="198"/>
      <c r="F1" s="46"/>
      <c r="G1" s="198"/>
      <c r="H1" s="538" t="s">
        <v>581</v>
      </c>
      <c r="I1" s="46"/>
      <c r="J1" s="539" t="s">
        <v>737</v>
      </c>
      <c r="K1" s="46"/>
    </row>
    <row r="2" spans="1:11" x14ac:dyDescent="0.25">
      <c r="A2" s="140"/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1" x14ac:dyDescent="0.25">
      <c r="A3" s="140"/>
      <c r="B3" s="198"/>
      <c r="C3" s="198"/>
      <c r="D3" s="198"/>
      <c r="E3" s="198"/>
      <c r="F3" s="198"/>
      <c r="G3" s="198"/>
      <c r="H3" s="198"/>
      <c r="I3" s="198"/>
      <c r="J3" s="198"/>
      <c r="K3" s="198"/>
    </row>
    <row r="4" spans="1:11" ht="25.05" customHeight="1" x14ac:dyDescent="0.25">
      <c r="A4" s="918" t="s">
        <v>738</v>
      </c>
      <c r="B4" s="918"/>
      <c r="C4" s="918"/>
      <c r="D4" s="918"/>
      <c r="E4" s="918"/>
      <c r="F4" s="918"/>
      <c r="G4" s="918"/>
      <c r="H4" s="918"/>
      <c r="I4" s="918"/>
      <c r="J4" s="918"/>
      <c r="K4" s="198"/>
    </row>
  </sheetData>
  <mergeCells count="1">
    <mergeCell ref="A4:J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1"/>
  <sheetViews>
    <sheetView view="pageBreakPreview" zoomScale="84" zoomScaleNormal="100" zoomScaleSheetLayoutView="84" workbookViewId="0">
      <selection activeCell="A4" sqref="A4:E4"/>
    </sheetView>
  </sheetViews>
  <sheetFormatPr defaultRowHeight="15.6" x14ac:dyDescent="0.3"/>
  <cols>
    <col min="1" max="1" width="90.109375" style="193" customWidth="1"/>
    <col min="2" max="2" width="18" style="193" customWidth="1"/>
    <col min="3" max="3" width="19.44140625" style="193" customWidth="1"/>
    <col min="4" max="4" width="19.33203125" style="193" customWidth="1"/>
    <col min="5" max="12" width="19.88671875" style="193" customWidth="1"/>
    <col min="13" max="13" width="12.44140625" style="193" bestFit="1" customWidth="1"/>
    <col min="14" max="259" width="9.109375" style="193"/>
    <col min="260" max="260" width="90.109375" style="193" customWidth="1"/>
    <col min="261" max="261" width="18" style="193" customWidth="1"/>
    <col min="262" max="262" width="15.5546875" style="193" customWidth="1"/>
    <col min="263" max="263" width="19.44140625" style="193" customWidth="1"/>
    <col min="264" max="264" width="13.88671875" style="193" customWidth="1"/>
    <col min="265" max="265" width="19.33203125" style="193" customWidth="1"/>
    <col min="266" max="266" width="14.6640625" style="193" customWidth="1"/>
    <col min="267" max="267" width="19.88671875" style="193" customWidth="1"/>
    <col min="268" max="268" width="14.5546875" style="193" customWidth="1"/>
    <col min="269" max="269" width="12.44140625" style="193" bestFit="1" customWidth="1"/>
    <col min="270" max="515" width="9.109375" style="193"/>
    <col min="516" max="516" width="90.109375" style="193" customWidth="1"/>
    <col min="517" max="517" width="18" style="193" customWidth="1"/>
    <col min="518" max="518" width="15.5546875" style="193" customWidth="1"/>
    <col min="519" max="519" width="19.44140625" style="193" customWidth="1"/>
    <col min="520" max="520" width="13.88671875" style="193" customWidth="1"/>
    <col min="521" max="521" width="19.33203125" style="193" customWidth="1"/>
    <col min="522" max="522" width="14.6640625" style="193" customWidth="1"/>
    <col min="523" max="523" width="19.88671875" style="193" customWidth="1"/>
    <col min="524" max="524" width="14.5546875" style="193" customWidth="1"/>
    <col min="525" max="525" width="12.44140625" style="193" bestFit="1" customWidth="1"/>
    <col min="526" max="771" width="9.109375" style="193"/>
    <col min="772" max="772" width="90.109375" style="193" customWidth="1"/>
    <col min="773" max="773" width="18" style="193" customWidth="1"/>
    <col min="774" max="774" width="15.5546875" style="193" customWidth="1"/>
    <col min="775" max="775" width="19.44140625" style="193" customWidth="1"/>
    <col min="776" max="776" width="13.88671875" style="193" customWidth="1"/>
    <col min="777" max="777" width="19.33203125" style="193" customWidth="1"/>
    <col min="778" max="778" width="14.6640625" style="193" customWidth="1"/>
    <col min="779" max="779" width="19.88671875" style="193" customWidth="1"/>
    <col min="780" max="780" width="14.5546875" style="193" customWidth="1"/>
    <col min="781" max="781" width="12.44140625" style="193" bestFit="1" customWidth="1"/>
    <col min="782" max="1027" width="9.109375" style="193"/>
    <col min="1028" max="1028" width="90.109375" style="193" customWidth="1"/>
    <col min="1029" max="1029" width="18" style="193" customWidth="1"/>
    <col min="1030" max="1030" width="15.5546875" style="193" customWidth="1"/>
    <col min="1031" max="1031" width="19.44140625" style="193" customWidth="1"/>
    <col min="1032" max="1032" width="13.88671875" style="193" customWidth="1"/>
    <col min="1033" max="1033" width="19.33203125" style="193" customWidth="1"/>
    <col min="1034" max="1034" width="14.6640625" style="193" customWidth="1"/>
    <col min="1035" max="1035" width="19.88671875" style="193" customWidth="1"/>
    <col min="1036" max="1036" width="14.5546875" style="193" customWidth="1"/>
    <col min="1037" max="1037" width="12.44140625" style="193" bestFit="1" customWidth="1"/>
    <col min="1038" max="1283" width="9.109375" style="193"/>
    <col min="1284" max="1284" width="90.109375" style="193" customWidth="1"/>
    <col min="1285" max="1285" width="18" style="193" customWidth="1"/>
    <col min="1286" max="1286" width="15.5546875" style="193" customWidth="1"/>
    <col min="1287" max="1287" width="19.44140625" style="193" customWidth="1"/>
    <col min="1288" max="1288" width="13.88671875" style="193" customWidth="1"/>
    <col min="1289" max="1289" width="19.33203125" style="193" customWidth="1"/>
    <col min="1290" max="1290" width="14.6640625" style="193" customWidth="1"/>
    <col min="1291" max="1291" width="19.88671875" style="193" customWidth="1"/>
    <col min="1292" max="1292" width="14.5546875" style="193" customWidth="1"/>
    <col min="1293" max="1293" width="12.44140625" style="193" bestFit="1" customWidth="1"/>
    <col min="1294" max="1539" width="9.109375" style="193"/>
    <col min="1540" max="1540" width="90.109375" style="193" customWidth="1"/>
    <col min="1541" max="1541" width="18" style="193" customWidth="1"/>
    <col min="1542" max="1542" width="15.5546875" style="193" customWidth="1"/>
    <col min="1543" max="1543" width="19.44140625" style="193" customWidth="1"/>
    <col min="1544" max="1544" width="13.88671875" style="193" customWidth="1"/>
    <col min="1545" max="1545" width="19.33203125" style="193" customWidth="1"/>
    <col min="1546" max="1546" width="14.6640625" style="193" customWidth="1"/>
    <col min="1547" max="1547" width="19.88671875" style="193" customWidth="1"/>
    <col min="1548" max="1548" width="14.5546875" style="193" customWidth="1"/>
    <col min="1549" max="1549" width="12.44140625" style="193" bestFit="1" customWidth="1"/>
    <col min="1550" max="1795" width="9.109375" style="193"/>
    <col min="1796" max="1796" width="90.109375" style="193" customWidth="1"/>
    <col min="1797" max="1797" width="18" style="193" customWidth="1"/>
    <col min="1798" max="1798" width="15.5546875" style="193" customWidth="1"/>
    <col min="1799" max="1799" width="19.44140625" style="193" customWidth="1"/>
    <col min="1800" max="1800" width="13.88671875" style="193" customWidth="1"/>
    <col min="1801" max="1801" width="19.33203125" style="193" customWidth="1"/>
    <col min="1802" max="1802" width="14.6640625" style="193" customWidth="1"/>
    <col min="1803" max="1803" width="19.88671875" style="193" customWidth="1"/>
    <col min="1804" max="1804" width="14.5546875" style="193" customWidth="1"/>
    <col min="1805" max="1805" width="12.44140625" style="193" bestFit="1" customWidth="1"/>
    <col min="1806" max="2051" width="9.109375" style="193"/>
    <col min="2052" max="2052" width="90.109375" style="193" customWidth="1"/>
    <col min="2053" max="2053" width="18" style="193" customWidth="1"/>
    <col min="2054" max="2054" width="15.5546875" style="193" customWidth="1"/>
    <col min="2055" max="2055" width="19.44140625" style="193" customWidth="1"/>
    <col min="2056" max="2056" width="13.88671875" style="193" customWidth="1"/>
    <col min="2057" max="2057" width="19.33203125" style="193" customWidth="1"/>
    <col min="2058" max="2058" width="14.6640625" style="193" customWidth="1"/>
    <col min="2059" max="2059" width="19.88671875" style="193" customWidth="1"/>
    <col min="2060" max="2060" width="14.5546875" style="193" customWidth="1"/>
    <col min="2061" max="2061" width="12.44140625" style="193" bestFit="1" customWidth="1"/>
    <col min="2062" max="2307" width="9.109375" style="193"/>
    <col min="2308" max="2308" width="90.109375" style="193" customWidth="1"/>
    <col min="2309" max="2309" width="18" style="193" customWidth="1"/>
    <col min="2310" max="2310" width="15.5546875" style="193" customWidth="1"/>
    <col min="2311" max="2311" width="19.44140625" style="193" customWidth="1"/>
    <col min="2312" max="2312" width="13.88671875" style="193" customWidth="1"/>
    <col min="2313" max="2313" width="19.33203125" style="193" customWidth="1"/>
    <col min="2314" max="2314" width="14.6640625" style="193" customWidth="1"/>
    <col min="2315" max="2315" width="19.88671875" style="193" customWidth="1"/>
    <col min="2316" max="2316" width="14.5546875" style="193" customWidth="1"/>
    <col min="2317" max="2317" width="12.44140625" style="193" bestFit="1" customWidth="1"/>
    <col min="2318" max="2563" width="9.109375" style="193"/>
    <col min="2564" max="2564" width="90.109375" style="193" customWidth="1"/>
    <col min="2565" max="2565" width="18" style="193" customWidth="1"/>
    <col min="2566" max="2566" width="15.5546875" style="193" customWidth="1"/>
    <col min="2567" max="2567" width="19.44140625" style="193" customWidth="1"/>
    <col min="2568" max="2568" width="13.88671875" style="193" customWidth="1"/>
    <col min="2569" max="2569" width="19.33203125" style="193" customWidth="1"/>
    <col min="2570" max="2570" width="14.6640625" style="193" customWidth="1"/>
    <col min="2571" max="2571" width="19.88671875" style="193" customWidth="1"/>
    <col min="2572" max="2572" width="14.5546875" style="193" customWidth="1"/>
    <col min="2573" max="2573" width="12.44140625" style="193" bestFit="1" customWidth="1"/>
    <col min="2574" max="2819" width="9.109375" style="193"/>
    <col min="2820" max="2820" width="90.109375" style="193" customWidth="1"/>
    <col min="2821" max="2821" width="18" style="193" customWidth="1"/>
    <col min="2822" max="2822" width="15.5546875" style="193" customWidth="1"/>
    <col min="2823" max="2823" width="19.44140625" style="193" customWidth="1"/>
    <col min="2824" max="2824" width="13.88671875" style="193" customWidth="1"/>
    <col min="2825" max="2825" width="19.33203125" style="193" customWidth="1"/>
    <col min="2826" max="2826" width="14.6640625" style="193" customWidth="1"/>
    <col min="2827" max="2827" width="19.88671875" style="193" customWidth="1"/>
    <col min="2828" max="2828" width="14.5546875" style="193" customWidth="1"/>
    <col min="2829" max="2829" width="12.44140625" style="193" bestFit="1" customWidth="1"/>
    <col min="2830" max="3075" width="9.109375" style="193"/>
    <col min="3076" max="3076" width="90.109375" style="193" customWidth="1"/>
    <col min="3077" max="3077" width="18" style="193" customWidth="1"/>
    <col min="3078" max="3078" width="15.5546875" style="193" customWidth="1"/>
    <col min="3079" max="3079" width="19.44140625" style="193" customWidth="1"/>
    <col min="3080" max="3080" width="13.88671875" style="193" customWidth="1"/>
    <col min="3081" max="3081" width="19.33203125" style="193" customWidth="1"/>
    <col min="3082" max="3082" width="14.6640625" style="193" customWidth="1"/>
    <col min="3083" max="3083" width="19.88671875" style="193" customWidth="1"/>
    <col min="3084" max="3084" width="14.5546875" style="193" customWidth="1"/>
    <col min="3085" max="3085" width="12.44140625" style="193" bestFit="1" customWidth="1"/>
    <col min="3086" max="3331" width="9.109375" style="193"/>
    <col min="3332" max="3332" width="90.109375" style="193" customWidth="1"/>
    <col min="3333" max="3333" width="18" style="193" customWidth="1"/>
    <col min="3334" max="3334" width="15.5546875" style="193" customWidth="1"/>
    <col min="3335" max="3335" width="19.44140625" style="193" customWidth="1"/>
    <col min="3336" max="3336" width="13.88671875" style="193" customWidth="1"/>
    <col min="3337" max="3337" width="19.33203125" style="193" customWidth="1"/>
    <col min="3338" max="3338" width="14.6640625" style="193" customWidth="1"/>
    <col min="3339" max="3339" width="19.88671875" style="193" customWidth="1"/>
    <col min="3340" max="3340" width="14.5546875" style="193" customWidth="1"/>
    <col min="3341" max="3341" width="12.44140625" style="193" bestFit="1" customWidth="1"/>
    <col min="3342" max="3587" width="9.109375" style="193"/>
    <col min="3588" max="3588" width="90.109375" style="193" customWidth="1"/>
    <col min="3589" max="3589" width="18" style="193" customWidth="1"/>
    <col min="3590" max="3590" width="15.5546875" style="193" customWidth="1"/>
    <col min="3591" max="3591" width="19.44140625" style="193" customWidth="1"/>
    <col min="3592" max="3592" width="13.88671875" style="193" customWidth="1"/>
    <col min="3593" max="3593" width="19.33203125" style="193" customWidth="1"/>
    <col min="3594" max="3594" width="14.6640625" style="193" customWidth="1"/>
    <col min="3595" max="3595" width="19.88671875" style="193" customWidth="1"/>
    <col min="3596" max="3596" width="14.5546875" style="193" customWidth="1"/>
    <col min="3597" max="3597" width="12.44140625" style="193" bestFit="1" customWidth="1"/>
    <col min="3598" max="3843" width="9.109375" style="193"/>
    <col min="3844" max="3844" width="90.109375" style="193" customWidth="1"/>
    <col min="3845" max="3845" width="18" style="193" customWidth="1"/>
    <col min="3846" max="3846" width="15.5546875" style="193" customWidth="1"/>
    <col min="3847" max="3847" width="19.44140625" style="193" customWidth="1"/>
    <col min="3848" max="3848" width="13.88671875" style="193" customWidth="1"/>
    <col min="3849" max="3849" width="19.33203125" style="193" customWidth="1"/>
    <col min="3850" max="3850" width="14.6640625" style="193" customWidth="1"/>
    <col min="3851" max="3851" width="19.88671875" style="193" customWidth="1"/>
    <col min="3852" max="3852" width="14.5546875" style="193" customWidth="1"/>
    <col min="3853" max="3853" width="12.44140625" style="193" bestFit="1" customWidth="1"/>
    <col min="3854" max="4099" width="9.109375" style="193"/>
    <col min="4100" max="4100" width="90.109375" style="193" customWidth="1"/>
    <col min="4101" max="4101" width="18" style="193" customWidth="1"/>
    <col min="4102" max="4102" width="15.5546875" style="193" customWidth="1"/>
    <col min="4103" max="4103" width="19.44140625" style="193" customWidth="1"/>
    <col min="4104" max="4104" width="13.88671875" style="193" customWidth="1"/>
    <col min="4105" max="4105" width="19.33203125" style="193" customWidth="1"/>
    <col min="4106" max="4106" width="14.6640625" style="193" customWidth="1"/>
    <col min="4107" max="4107" width="19.88671875" style="193" customWidth="1"/>
    <col min="4108" max="4108" width="14.5546875" style="193" customWidth="1"/>
    <col min="4109" max="4109" width="12.44140625" style="193" bestFit="1" customWidth="1"/>
    <col min="4110" max="4355" width="9.109375" style="193"/>
    <col min="4356" max="4356" width="90.109375" style="193" customWidth="1"/>
    <col min="4357" max="4357" width="18" style="193" customWidth="1"/>
    <col min="4358" max="4358" width="15.5546875" style="193" customWidth="1"/>
    <col min="4359" max="4359" width="19.44140625" style="193" customWidth="1"/>
    <col min="4360" max="4360" width="13.88671875" style="193" customWidth="1"/>
    <col min="4361" max="4361" width="19.33203125" style="193" customWidth="1"/>
    <col min="4362" max="4362" width="14.6640625" style="193" customWidth="1"/>
    <col min="4363" max="4363" width="19.88671875" style="193" customWidth="1"/>
    <col min="4364" max="4364" width="14.5546875" style="193" customWidth="1"/>
    <col min="4365" max="4365" width="12.44140625" style="193" bestFit="1" customWidth="1"/>
    <col min="4366" max="4611" width="9.109375" style="193"/>
    <col min="4612" max="4612" width="90.109375" style="193" customWidth="1"/>
    <col min="4613" max="4613" width="18" style="193" customWidth="1"/>
    <col min="4614" max="4614" width="15.5546875" style="193" customWidth="1"/>
    <col min="4615" max="4615" width="19.44140625" style="193" customWidth="1"/>
    <col min="4616" max="4616" width="13.88671875" style="193" customWidth="1"/>
    <col min="4617" max="4617" width="19.33203125" style="193" customWidth="1"/>
    <col min="4618" max="4618" width="14.6640625" style="193" customWidth="1"/>
    <col min="4619" max="4619" width="19.88671875" style="193" customWidth="1"/>
    <col min="4620" max="4620" width="14.5546875" style="193" customWidth="1"/>
    <col min="4621" max="4621" width="12.44140625" style="193" bestFit="1" customWidth="1"/>
    <col min="4622" max="4867" width="9.109375" style="193"/>
    <col min="4868" max="4868" width="90.109375" style="193" customWidth="1"/>
    <col min="4869" max="4869" width="18" style="193" customWidth="1"/>
    <col min="4870" max="4870" width="15.5546875" style="193" customWidth="1"/>
    <col min="4871" max="4871" width="19.44140625" style="193" customWidth="1"/>
    <col min="4872" max="4872" width="13.88671875" style="193" customWidth="1"/>
    <col min="4873" max="4873" width="19.33203125" style="193" customWidth="1"/>
    <col min="4874" max="4874" width="14.6640625" style="193" customWidth="1"/>
    <col min="4875" max="4875" width="19.88671875" style="193" customWidth="1"/>
    <col min="4876" max="4876" width="14.5546875" style="193" customWidth="1"/>
    <col min="4877" max="4877" width="12.44140625" style="193" bestFit="1" customWidth="1"/>
    <col min="4878" max="5123" width="9.109375" style="193"/>
    <col min="5124" max="5124" width="90.109375" style="193" customWidth="1"/>
    <col min="5125" max="5125" width="18" style="193" customWidth="1"/>
    <col min="5126" max="5126" width="15.5546875" style="193" customWidth="1"/>
    <col min="5127" max="5127" width="19.44140625" style="193" customWidth="1"/>
    <col min="5128" max="5128" width="13.88671875" style="193" customWidth="1"/>
    <col min="5129" max="5129" width="19.33203125" style="193" customWidth="1"/>
    <col min="5130" max="5130" width="14.6640625" style="193" customWidth="1"/>
    <col min="5131" max="5131" width="19.88671875" style="193" customWidth="1"/>
    <col min="5132" max="5132" width="14.5546875" style="193" customWidth="1"/>
    <col min="5133" max="5133" width="12.44140625" style="193" bestFit="1" customWidth="1"/>
    <col min="5134" max="5379" width="9.109375" style="193"/>
    <col min="5380" max="5380" width="90.109375" style="193" customWidth="1"/>
    <col min="5381" max="5381" width="18" style="193" customWidth="1"/>
    <col min="5382" max="5382" width="15.5546875" style="193" customWidth="1"/>
    <col min="5383" max="5383" width="19.44140625" style="193" customWidth="1"/>
    <col min="5384" max="5384" width="13.88671875" style="193" customWidth="1"/>
    <col min="5385" max="5385" width="19.33203125" style="193" customWidth="1"/>
    <col min="5386" max="5386" width="14.6640625" style="193" customWidth="1"/>
    <col min="5387" max="5387" width="19.88671875" style="193" customWidth="1"/>
    <col min="5388" max="5388" width="14.5546875" style="193" customWidth="1"/>
    <col min="5389" max="5389" width="12.44140625" style="193" bestFit="1" customWidth="1"/>
    <col min="5390" max="5635" width="9.109375" style="193"/>
    <col min="5636" max="5636" width="90.109375" style="193" customWidth="1"/>
    <col min="5637" max="5637" width="18" style="193" customWidth="1"/>
    <col min="5638" max="5638" width="15.5546875" style="193" customWidth="1"/>
    <col min="5639" max="5639" width="19.44140625" style="193" customWidth="1"/>
    <col min="5640" max="5640" width="13.88671875" style="193" customWidth="1"/>
    <col min="5641" max="5641" width="19.33203125" style="193" customWidth="1"/>
    <col min="5642" max="5642" width="14.6640625" style="193" customWidth="1"/>
    <col min="5643" max="5643" width="19.88671875" style="193" customWidth="1"/>
    <col min="5644" max="5644" width="14.5546875" style="193" customWidth="1"/>
    <col min="5645" max="5645" width="12.44140625" style="193" bestFit="1" customWidth="1"/>
    <col min="5646" max="5891" width="9.109375" style="193"/>
    <col min="5892" max="5892" width="90.109375" style="193" customWidth="1"/>
    <col min="5893" max="5893" width="18" style="193" customWidth="1"/>
    <col min="5894" max="5894" width="15.5546875" style="193" customWidth="1"/>
    <col min="5895" max="5895" width="19.44140625" style="193" customWidth="1"/>
    <col min="5896" max="5896" width="13.88671875" style="193" customWidth="1"/>
    <col min="5897" max="5897" width="19.33203125" style="193" customWidth="1"/>
    <col min="5898" max="5898" width="14.6640625" style="193" customWidth="1"/>
    <col min="5899" max="5899" width="19.88671875" style="193" customWidth="1"/>
    <col min="5900" max="5900" width="14.5546875" style="193" customWidth="1"/>
    <col min="5901" max="5901" width="12.44140625" style="193" bestFit="1" customWidth="1"/>
    <col min="5902" max="6147" width="9.109375" style="193"/>
    <col min="6148" max="6148" width="90.109375" style="193" customWidth="1"/>
    <col min="6149" max="6149" width="18" style="193" customWidth="1"/>
    <col min="6150" max="6150" width="15.5546875" style="193" customWidth="1"/>
    <col min="6151" max="6151" width="19.44140625" style="193" customWidth="1"/>
    <col min="6152" max="6152" width="13.88671875" style="193" customWidth="1"/>
    <col min="6153" max="6153" width="19.33203125" style="193" customWidth="1"/>
    <col min="6154" max="6154" width="14.6640625" style="193" customWidth="1"/>
    <col min="6155" max="6155" width="19.88671875" style="193" customWidth="1"/>
    <col min="6156" max="6156" width="14.5546875" style="193" customWidth="1"/>
    <col min="6157" max="6157" width="12.44140625" style="193" bestFit="1" customWidth="1"/>
    <col min="6158" max="6403" width="9.109375" style="193"/>
    <col min="6404" max="6404" width="90.109375" style="193" customWidth="1"/>
    <col min="6405" max="6405" width="18" style="193" customWidth="1"/>
    <col min="6406" max="6406" width="15.5546875" style="193" customWidth="1"/>
    <col min="6407" max="6407" width="19.44140625" style="193" customWidth="1"/>
    <col min="6408" max="6408" width="13.88671875" style="193" customWidth="1"/>
    <col min="6409" max="6409" width="19.33203125" style="193" customWidth="1"/>
    <col min="6410" max="6410" width="14.6640625" style="193" customWidth="1"/>
    <col min="6411" max="6411" width="19.88671875" style="193" customWidth="1"/>
    <col min="6412" max="6412" width="14.5546875" style="193" customWidth="1"/>
    <col min="6413" max="6413" width="12.44140625" style="193" bestFit="1" customWidth="1"/>
    <col min="6414" max="6659" width="9.109375" style="193"/>
    <col min="6660" max="6660" width="90.109375" style="193" customWidth="1"/>
    <col min="6661" max="6661" width="18" style="193" customWidth="1"/>
    <col min="6662" max="6662" width="15.5546875" style="193" customWidth="1"/>
    <col min="6663" max="6663" width="19.44140625" style="193" customWidth="1"/>
    <col min="6664" max="6664" width="13.88671875" style="193" customWidth="1"/>
    <col min="6665" max="6665" width="19.33203125" style="193" customWidth="1"/>
    <col min="6666" max="6666" width="14.6640625" style="193" customWidth="1"/>
    <col min="6667" max="6667" width="19.88671875" style="193" customWidth="1"/>
    <col min="6668" max="6668" width="14.5546875" style="193" customWidth="1"/>
    <col min="6669" max="6669" width="12.44140625" style="193" bestFit="1" customWidth="1"/>
    <col min="6670" max="6915" width="9.109375" style="193"/>
    <col min="6916" max="6916" width="90.109375" style="193" customWidth="1"/>
    <col min="6917" max="6917" width="18" style="193" customWidth="1"/>
    <col min="6918" max="6918" width="15.5546875" style="193" customWidth="1"/>
    <col min="6919" max="6919" width="19.44140625" style="193" customWidth="1"/>
    <col min="6920" max="6920" width="13.88671875" style="193" customWidth="1"/>
    <col min="6921" max="6921" width="19.33203125" style="193" customWidth="1"/>
    <col min="6922" max="6922" width="14.6640625" style="193" customWidth="1"/>
    <col min="6923" max="6923" width="19.88671875" style="193" customWidth="1"/>
    <col min="6924" max="6924" width="14.5546875" style="193" customWidth="1"/>
    <col min="6925" max="6925" width="12.44140625" style="193" bestFit="1" customWidth="1"/>
    <col min="6926" max="7171" width="9.109375" style="193"/>
    <col min="7172" max="7172" width="90.109375" style="193" customWidth="1"/>
    <col min="7173" max="7173" width="18" style="193" customWidth="1"/>
    <col min="7174" max="7174" width="15.5546875" style="193" customWidth="1"/>
    <col min="7175" max="7175" width="19.44140625" style="193" customWidth="1"/>
    <col min="7176" max="7176" width="13.88671875" style="193" customWidth="1"/>
    <col min="7177" max="7177" width="19.33203125" style="193" customWidth="1"/>
    <col min="7178" max="7178" width="14.6640625" style="193" customWidth="1"/>
    <col min="7179" max="7179" width="19.88671875" style="193" customWidth="1"/>
    <col min="7180" max="7180" width="14.5546875" style="193" customWidth="1"/>
    <col min="7181" max="7181" width="12.44140625" style="193" bestFit="1" customWidth="1"/>
    <col min="7182" max="7427" width="9.109375" style="193"/>
    <col min="7428" max="7428" width="90.109375" style="193" customWidth="1"/>
    <col min="7429" max="7429" width="18" style="193" customWidth="1"/>
    <col min="7430" max="7430" width="15.5546875" style="193" customWidth="1"/>
    <col min="7431" max="7431" width="19.44140625" style="193" customWidth="1"/>
    <col min="7432" max="7432" width="13.88671875" style="193" customWidth="1"/>
    <col min="7433" max="7433" width="19.33203125" style="193" customWidth="1"/>
    <col min="7434" max="7434" width="14.6640625" style="193" customWidth="1"/>
    <col min="7435" max="7435" width="19.88671875" style="193" customWidth="1"/>
    <col min="7436" max="7436" width="14.5546875" style="193" customWidth="1"/>
    <col min="7437" max="7437" width="12.44140625" style="193" bestFit="1" customWidth="1"/>
    <col min="7438" max="7683" width="9.109375" style="193"/>
    <col min="7684" max="7684" width="90.109375" style="193" customWidth="1"/>
    <col min="7685" max="7685" width="18" style="193" customWidth="1"/>
    <col min="7686" max="7686" width="15.5546875" style="193" customWidth="1"/>
    <col min="7687" max="7687" width="19.44140625" style="193" customWidth="1"/>
    <col min="7688" max="7688" width="13.88671875" style="193" customWidth="1"/>
    <col min="7689" max="7689" width="19.33203125" style="193" customWidth="1"/>
    <col min="7690" max="7690" width="14.6640625" style="193" customWidth="1"/>
    <col min="7691" max="7691" width="19.88671875" style="193" customWidth="1"/>
    <col min="7692" max="7692" width="14.5546875" style="193" customWidth="1"/>
    <col min="7693" max="7693" width="12.44140625" style="193" bestFit="1" customWidth="1"/>
    <col min="7694" max="7939" width="9.109375" style="193"/>
    <col min="7940" max="7940" width="90.109375" style="193" customWidth="1"/>
    <col min="7941" max="7941" width="18" style="193" customWidth="1"/>
    <col min="7942" max="7942" width="15.5546875" style="193" customWidth="1"/>
    <col min="7943" max="7943" width="19.44140625" style="193" customWidth="1"/>
    <col min="7944" max="7944" width="13.88671875" style="193" customWidth="1"/>
    <col min="7945" max="7945" width="19.33203125" style="193" customWidth="1"/>
    <col min="7946" max="7946" width="14.6640625" style="193" customWidth="1"/>
    <col min="7947" max="7947" width="19.88671875" style="193" customWidth="1"/>
    <col min="7948" max="7948" width="14.5546875" style="193" customWidth="1"/>
    <col min="7949" max="7949" width="12.44140625" style="193" bestFit="1" customWidth="1"/>
    <col min="7950" max="8195" width="9.109375" style="193"/>
    <col min="8196" max="8196" width="90.109375" style="193" customWidth="1"/>
    <col min="8197" max="8197" width="18" style="193" customWidth="1"/>
    <col min="8198" max="8198" width="15.5546875" style="193" customWidth="1"/>
    <col min="8199" max="8199" width="19.44140625" style="193" customWidth="1"/>
    <col min="8200" max="8200" width="13.88671875" style="193" customWidth="1"/>
    <col min="8201" max="8201" width="19.33203125" style="193" customWidth="1"/>
    <col min="8202" max="8202" width="14.6640625" style="193" customWidth="1"/>
    <col min="8203" max="8203" width="19.88671875" style="193" customWidth="1"/>
    <col min="8204" max="8204" width="14.5546875" style="193" customWidth="1"/>
    <col min="8205" max="8205" width="12.44140625" style="193" bestFit="1" customWidth="1"/>
    <col min="8206" max="8451" width="9.109375" style="193"/>
    <col min="8452" max="8452" width="90.109375" style="193" customWidth="1"/>
    <col min="8453" max="8453" width="18" style="193" customWidth="1"/>
    <col min="8454" max="8454" width="15.5546875" style="193" customWidth="1"/>
    <col min="8455" max="8455" width="19.44140625" style="193" customWidth="1"/>
    <col min="8456" max="8456" width="13.88671875" style="193" customWidth="1"/>
    <col min="8457" max="8457" width="19.33203125" style="193" customWidth="1"/>
    <col min="8458" max="8458" width="14.6640625" style="193" customWidth="1"/>
    <col min="8459" max="8459" width="19.88671875" style="193" customWidth="1"/>
    <col min="8460" max="8460" width="14.5546875" style="193" customWidth="1"/>
    <col min="8461" max="8461" width="12.44140625" style="193" bestFit="1" customWidth="1"/>
    <col min="8462" max="8707" width="9.109375" style="193"/>
    <col min="8708" max="8708" width="90.109375" style="193" customWidth="1"/>
    <col min="8709" max="8709" width="18" style="193" customWidth="1"/>
    <col min="8710" max="8710" width="15.5546875" style="193" customWidth="1"/>
    <col min="8711" max="8711" width="19.44140625" style="193" customWidth="1"/>
    <col min="8712" max="8712" width="13.88671875" style="193" customWidth="1"/>
    <col min="8713" max="8713" width="19.33203125" style="193" customWidth="1"/>
    <col min="8714" max="8714" width="14.6640625" style="193" customWidth="1"/>
    <col min="8715" max="8715" width="19.88671875" style="193" customWidth="1"/>
    <col min="8716" max="8716" width="14.5546875" style="193" customWidth="1"/>
    <col min="8717" max="8717" width="12.44140625" style="193" bestFit="1" customWidth="1"/>
    <col min="8718" max="8963" width="9.109375" style="193"/>
    <col min="8964" max="8964" width="90.109375" style="193" customWidth="1"/>
    <col min="8965" max="8965" width="18" style="193" customWidth="1"/>
    <col min="8966" max="8966" width="15.5546875" style="193" customWidth="1"/>
    <col min="8967" max="8967" width="19.44140625" style="193" customWidth="1"/>
    <col min="8968" max="8968" width="13.88671875" style="193" customWidth="1"/>
    <col min="8969" max="8969" width="19.33203125" style="193" customWidth="1"/>
    <col min="8970" max="8970" width="14.6640625" style="193" customWidth="1"/>
    <col min="8971" max="8971" width="19.88671875" style="193" customWidth="1"/>
    <col min="8972" max="8972" width="14.5546875" style="193" customWidth="1"/>
    <col min="8973" max="8973" width="12.44140625" style="193" bestFit="1" customWidth="1"/>
    <col min="8974" max="9219" width="9.109375" style="193"/>
    <col min="9220" max="9220" width="90.109375" style="193" customWidth="1"/>
    <col min="9221" max="9221" width="18" style="193" customWidth="1"/>
    <col min="9222" max="9222" width="15.5546875" style="193" customWidth="1"/>
    <col min="9223" max="9223" width="19.44140625" style="193" customWidth="1"/>
    <col min="9224" max="9224" width="13.88671875" style="193" customWidth="1"/>
    <col min="9225" max="9225" width="19.33203125" style="193" customWidth="1"/>
    <col min="9226" max="9226" width="14.6640625" style="193" customWidth="1"/>
    <col min="9227" max="9227" width="19.88671875" style="193" customWidth="1"/>
    <col min="9228" max="9228" width="14.5546875" style="193" customWidth="1"/>
    <col min="9229" max="9229" width="12.44140625" style="193" bestFit="1" customWidth="1"/>
    <col min="9230" max="9475" width="9.109375" style="193"/>
    <col min="9476" max="9476" width="90.109375" style="193" customWidth="1"/>
    <col min="9477" max="9477" width="18" style="193" customWidth="1"/>
    <col min="9478" max="9478" width="15.5546875" style="193" customWidth="1"/>
    <col min="9479" max="9479" width="19.44140625" style="193" customWidth="1"/>
    <col min="9480" max="9480" width="13.88671875" style="193" customWidth="1"/>
    <col min="9481" max="9481" width="19.33203125" style="193" customWidth="1"/>
    <col min="9482" max="9482" width="14.6640625" style="193" customWidth="1"/>
    <col min="9483" max="9483" width="19.88671875" style="193" customWidth="1"/>
    <col min="9484" max="9484" width="14.5546875" style="193" customWidth="1"/>
    <col min="9485" max="9485" width="12.44140625" style="193" bestFit="1" customWidth="1"/>
    <col min="9486" max="9731" width="9.109375" style="193"/>
    <col min="9732" max="9732" width="90.109375" style="193" customWidth="1"/>
    <col min="9733" max="9733" width="18" style="193" customWidth="1"/>
    <col min="9734" max="9734" width="15.5546875" style="193" customWidth="1"/>
    <col min="9735" max="9735" width="19.44140625" style="193" customWidth="1"/>
    <col min="9736" max="9736" width="13.88671875" style="193" customWidth="1"/>
    <col min="9737" max="9737" width="19.33203125" style="193" customWidth="1"/>
    <col min="9738" max="9738" width="14.6640625" style="193" customWidth="1"/>
    <col min="9739" max="9739" width="19.88671875" style="193" customWidth="1"/>
    <col min="9740" max="9740" width="14.5546875" style="193" customWidth="1"/>
    <col min="9741" max="9741" width="12.44140625" style="193" bestFit="1" customWidth="1"/>
    <col min="9742" max="9987" width="9.109375" style="193"/>
    <col min="9988" max="9988" width="90.109375" style="193" customWidth="1"/>
    <col min="9989" max="9989" width="18" style="193" customWidth="1"/>
    <col min="9990" max="9990" width="15.5546875" style="193" customWidth="1"/>
    <col min="9991" max="9991" width="19.44140625" style="193" customWidth="1"/>
    <col min="9992" max="9992" width="13.88671875" style="193" customWidth="1"/>
    <col min="9993" max="9993" width="19.33203125" style="193" customWidth="1"/>
    <col min="9994" max="9994" width="14.6640625" style="193" customWidth="1"/>
    <col min="9995" max="9995" width="19.88671875" style="193" customWidth="1"/>
    <col min="9996" max="9996" width="14.5546875" style="193" customWidth="1"/>
    <col min="9997" max="9997" width="12.44140625" style="193" bestFit="1" customWidth="1"/>
    <col min="9998" max="10243" width="9.109375" style="193"/>
    <col min="10244" max="10244" width="90.109375" style="193" customWidth="1"/>
    <col min="10245" max="10245" width="18" style="193" customWidth="1"/>
    <col min="10246" max="10246" width="15.5546875" style="193" customWidth="1"/>
    <col min="10247" max="10247" width="19.44140625" style="193" customWidth="1"/>
    <col min="10248" max="10248" width="13.88671875" style="193" customWidth="1"/>
    <col min="10249" max="10249" width="19.33203125" style="193" customWidth="1"/>
    <col min="10250" max="10250" width="14.6640625" style="193" customWidth="1"/>
    <col min="10251" max="10251" width="19.88671875" style="193" customWidth="1"/>
    <col min="10252" max="10252" width="14.5546875" style="193" customWidth="1"/>
    <col min="10253" max="10253" width="12.44140625" style="193" bestFit="1" customWidth="1"/>
    <col min="10254" max="10499" width="9.109375" style="193"/>
    <col min="10500" max="10500" width="90.109375" style="193" customWidth="1"/>
    <col min="10501" max="10501" width="18" style="193" customWidth="1"/>
    <col min="10502" max="10502" width="15.5546875" style="193" customWidth="1"/>
    <col min="10503" max="10503" width="19.44140625" style="193" customWidth="1"/>
    <col min="10504" max="10504" width="13.88671875" style="193" customWidth="1"/>
    <col min="10505" max="10505" width="19.33203125" style="193" customWidth="1"/>
    <col min="10506" max="10506" width="14.6640625" style="193" customWidth="1"/>
    <col min="10507" max="10507" width="19.88671875" style="193" customWidth="1"/>
    <col min="10508" max="10508" width="14.5546875" style="193" customWidth="1"/>
    <col min="10509" max="10509" width="12.44140625" style="193" bestFit="1" customWidth="1"/>
    <col min="10510" max="10755" width="9.109375" style="193"/>
    <col min="10756" max="10756" width="90.109375" style="193" customWidth="1"/>
    <col min="10757" max="10757" width="18" style="193" customWidth="1"/>
    <col min="10758" max="10758" width="15.5546875" style="193" customWidth="1"/>
    <col min="10759" max="10759" width="19.44140625" style="193" customWidth="1"/>
    <col min="10760" max="10760" width="13.88671875" style="193" customWidth="1"/>
    <col min="10761" max="10761" width="19.33203125" style="193" customWidth="1"/>
    <col min="10762" max="10762" width="14.6640625" style="193" customWidth="1"/>
    <col min="10763" max="10763" width="19.88671875" style="193" customWidth="1"/>
    <col min="10764" max="10764" width="14.5546875" style="193" customWidth="1"/>
    <col min="10765" max="10765" width="12.44140625" style="193" bestFit="1" customWidth="1"/>
    <col min="10766" max="11011" width="9.109375" style="193"/>
    <col min="11012" max="11012" width="90.109375" style="193" customWidth="1"/>
    <col min="11013" max="11013" width="18" style="193" customWidth="1"/>
    <col min="11014" max="11014" width="15.5546875" style="193" customWidth="1"/>
    <col min="11015" max="11015" width="19.44140625" style="193" customWidth="1"/>
    <col min="11016" max="11016" width="13.88671875" style="193" customWidth="1"/>
    <col min="11017" max="11017" width="19.33203125" style="193" customWidth="1"/>
    <col min="11018" max="11018" width="14.6640625" style="193" customWidth="1"/>
    <col min="11019" max="11019" width="19.88671875" style="193" customWidth="1"/>
    <col min="11020" max="11020" width="14.5546875" style="193" customWidth="1"/>
    <col min="11021" max="11021" width="12.44140625" style="193" bestFit="1" customWidth="1"/>
    <col min="11022" max="11267" width="9.109375" style="193"/>
    <col min="11268" max="11268" width="90.109375" style="193" customWidth="1"/>
    <col min="11269" max="11269" width="18" style="193" customWidth="1"/>
    <col min="11270" max="11270" width="15.5546875" style="193" customWidth="1"/>
    <col min="11271" max="11271" width="19.44140625" style="193" customWidth="1"/>
    <col min="11272" max="11272" width="13.88671875" style="193" customWidth="1"/>
    <col min="11273" max="11273" width="19.33203125" style="193" customWidth="1"/>
    <col min="11274" max="11274" width="14.6640625" style="193" customWidth="1"/>
    <col min="11275" max="11275" width="19.88671875" style="193" customWidth="1"/>
    <col min="11276" max="11276" width="14.5546875" style="193" customWidth="1"/>
    <col min="11277" max="11277" width="12.44140625" style="193" bestFit="1" customWidth="1"/>
    <col min="11278" max="11523" width="9.109375" style="193"/>
    <col min="11524" max="11524" width="90.109375" style="193" customWidth="1"/>
    <col min="11525" max="11525" width="18" style="193" customWidth="1"/>
    <col min="11526" max="11526" width="15.5546875" style="193" customWidth="1"/>
    <col min="11527" max="11527" width="19.44140625" style="193" customWidth="1"/>
    <col min="11528" max="11528" width="13.88671875" style="193" customWidth="1"/>
    <col min="11529" max="11529" width="19.33203125" style="193" customWidth="1"/>
    <col min="11530" max="11530" width="14.6640625" style="193" customWidth="1"/>
    <col min="11531" max="11531" width="19.88671875" style="193" customWidth="1"/>
    <col min="11532" max="11532" width="14.5546875" style="193" customWidth="1"/>
    <col min="11533" max="11533" width="12.44140625" style="193" bestFit="1" customWidth="1"/>
    <col min="11534" max="11779" width="9.109375" style="193"/>
    <col min="11780" max="11780" width="90.109375" style="193" customWidth="1"/>
    <col min="11781" max="11781" width="18" style="193" customWidth="1"/>
    <col min="11782" max="11782" width="15.5546875" style="193" customWidth="1"/>
    <col min="11783" max="11783" width="19.44140625" style="193" customWidth="1"/>
    <col min="11784" max="11784" width="13.88671875" style="193" customWidth="1"/>
    <col min="11785" max="11785" width="19.33203125" style="193" customWidth="1"/>
    <col min="11786" max="11786" width="14.6640625" style="193" customWidth="1"/>
    <col min="11787" max="11787" width="19.88671875" style="193" customWidth="1"/>
    <col min="11788" max="11788" width="14.5546875" style="193" customWidth="1"/>
    <col min="11789" max="11789" width="12.44140625" style="193" bestFit="1" customWidth="1"/>
    <col min="11790" max="12035" width="9.109375" style="193"/>
    <col min="12036" max="12036" width="90.109375" style="193" customWidth="1"/>
    <col min="12037" max="12037" width="18" style="193" customWidth="1"/>
    <col min="12038" max="12038" width="15.5546875" style="193" customWidth="1"/>
    <col min="12039" max="12039" width="19.44140625" style="193" customWidth="1"/>
    <col min="12040" max="12040" width="13.88671875" style="193" customWidth="1"/>
    <col min="12041" max="12041" width="19.33203125" style="193" customWidth="1"/>
    <col min="12042" max="12042" width="14.6640625" style="193" customWidth="1"/>
    <col min="12043" max="12043" width="19.88671875" style="193" customWidth="1"/>
    <col min="12044" max="12044" width="14.5546875" style="193" customWidth="1"/>
    <col min="12045" max="12045" width="12.44140625" style="193" bestFit="1" customWidth="1"/>
    <col min="12046" max="12291" width="9.109375" style="193"/>
    <col min="12292" max="12292" width="90.109375" style="193" customWidth="1"/>
    <col min="12293" max="12293" width="18" style="193" customWidth="1"/>
    <col min="12294" max="12294" width="15.5546875" style="193" customWidth="1"/>
    <col min="12295" max="12295" width="19.44140625" style="193" customWidth="1"/>
    <col min="12296" max="12296" width="13.88671875" style="193" customWidth="1"/>
    <col min="12297" max="12297" width="19.33203125" style="193" customWidth="1"/>
    <col min="12298" max="12298" width="14.6640625" style="193" customWidth="1"/>
    <col min="12299" max="12299" width="19.88671875" style="193" customWidth="1"/>
    <col min="12300" max="12300" width="14.5546875" style="193" customWidth="1"/>
    <col min="12301" max="12301" width="12.44140625" style="193" bestFit="1" customWidth="1"/>
    <col min="12302" max="12547" width="9.109375" style="193"/>
    <col min="12548" max="12548" width="90.109375" style="193" customWidth="1"/>
    <col min="12549" max="12549" width="18" style="193" customWidth="1"/>
    <col min="12550" max="12550" width="15.5546875" style="193" customWidth="1"/>
    <col min="12551" max="12551" width="19.44140625" style="193" customWidth="1"/>
    <col min="12552" max="12552" width="13.88671875" style="193" customWidth="1"/>
    <col min="12553" max="12553" width="19.33203125" style="193" customWidth="1"/>
    <col min="12554" max="12554" width="14.6640625" style="193" customWidth="1"/>
    <col min="12555" max="12555" width="19.88671875" style="193" customWidth="1"/>
    <col min="12556" max="12556" width="14.5546875" style="193" customWidth="1"/>
    <col min="12557" max="12557" width="12.44140625" style="193" bestFit="1" customWidth="1"/>
    <col min="12558" max="12803" width="9.109375" style="193"/>
    <col min="12804" max="12804" width="90.109375" style="193" customWidth="1"/>
    <col min="12805" max="12805" width="18" style="193" customWidth="1"/>
    <col min="12806" max="12806" width="15.5546875" style="193" customWidth="1"/>
    <col min="12807" max="12807" width="19.44140625" style="193" customWidth="1"/>
    <col min="12808" max="12808" width="13.88671875" style="193" customWidth="1"/>
    <col min="12809" max="12809" width="19.33203125" style="193" customWidth="1"/>
    <col min="12810" max="12810" width="14.6640625" style="193" customWidth="1"/>
    <col min="12811" max="12811" width="19.88671875" style="193" customWidth="1"/>
    <col min="12812" max="12812" width="14.5546875" style="193" customWidth="1"/>
    <col min="12813" max="12813" width="12.44140625" style="193" bestFit="1" customWidth="1"/>
    <col min="12814" max="13059" width="9.109375" style="193"/>
    <col min="13060" max="13060" width="90.109375" style="193" customWidth="1"/>
    <col min="13061" max="13061" width="18" style="193" customWidth="1"/>
    <col min="13062" max="13062" width="15.5546875" style="193" customWidth="1"/>
    <col min="13063" max="13063" width="19.44140625" style="193" customWidth="1"/>
    <col min="13064" max="13064" width="13.88671875" style="193" customWidth="1"/>
    <col min="13065" max="13065" width="19.33203125" style="193" customWidth="1"/>
    <col min="13066" max="13066" width="14.6640625" style="193" customWidth="1"/>
    <col min="13067" max="13067" width="19.88671875" style="193" customWidth="1"/>
    <col min="13068" max="13068" width="14.5546875" style="193" customWidth="1"/>
    <col min="13069" max="13069" width="12.44140625" style="193" bestFit="1" customWidth="1"/>
    <col min="13070" max="13315" width="9.109375" style="193"/>
    <col min="13316" max="13316" width="90.109375" style="193" customWidth="1"/>
    <col min="13317" max="13317" width="18" style="193" customWidth="1"/>
    <col min="13318" max="13318" width="15.5546875" style="193" customWidth="1"/>
    <col min="13319" max="13319" width="19.44140625" style="193" customWidth="1"/>
    <col min="13320" max="13320" width="13.88671875" style="193" customWidth="1"/>
    <col min="13321" max="13321" width="19.33203125" style="193" customWidth="1"/>
    <col min="13322" max="13322" width="14.6640625" style="193" customWidth="1"/>
    <col min="13323" max="13323" width="19.88671875" style="193" customWidth="1"/>
    <col min="13324" max="13324" width="14.5546875" style="193" customWidth="1"/>
    <col min="13325" max="13325" width="12.44140625" style="193" bestFit="1" customWidth="1"/>
    <col min="13326" max="13571" width="9.109375" style="193"/>
    <col min="13572" max="13572" width="90.109375" style="193" customWidth="1"/>
    <col min="13573" max="13573" width="18" style="193" customWidth="1"/>
    <col min="13574" max="13574" width="15.5546875" style="193" customWidth="1"/>
    <col min="13575" max="13575" width="19.44140625" style="193" customWidth="1"/>
    <col min="13576" max="13576" width="13.88671875" style="193" customWidth="1"/>
    <col min="13577" max="13577" width="19.33203125" style="193" customWidth="1"/>
    <col min="13578" max="13578" width="14.6640625" style="193" customWidth="1"/>
    <col min="13579" max="13579" width="19.88671875" style="193" customWidth="1"/>
    <col min="13580" max="13580" width="14.5546875" style="193" customWidth="1"/>
    <col min="13581" max="13581" width="12.44140625" style="193" bestFit="1" customWidth="1"/>
    <col min="13582" max="13827" width="9.109375" style="193"/>
    <col min="13828" max="13828" width="90.109375" style="193" customWidth="1"/>
    <col min="13829" max="13829" width="18" style="193" customWidth="1"/>
    <col min="13830" max="13830" width="15.5546875" style="193" customWidth="1"/>
    <col min="13831" max="13831" width="19.44140625" style="193" customWidth="1"/>
    <col min="13832" max="13832" width="13.88671875" style="193" customWidth="1"/>
    <col min="13833" max="13833" width="19.33203125" style="193" customWidth="1"/>
    <col min="13834" max="13834" width="14.6640625" style="193" customWidth="1"/>
    <col min="13835" max="13835" width="19.88671875" style="193" customWidth="1"/>
    <col min="13836" max="13836" width="14.5546875" style="193" customWidth="1"/>
    <col min="13837" max="13837" width="12.44140625" style="193" bestFit="1" customWidth="1"/>
    <col min="13838" max="14083" width="9.109375" style="193"/>
    <col min="14084" max="14084" width="90.109375" style="193" customWidth="1"/>
    <col min="14085" max="14085" width="18" style="193" customWidth="1"/>
    <col min="14086" max="14086" width="15.5546875" style="193" customWidth="1"/>
    <col min="14087" max="14087" width="19.44140625" style="193" customWidth="1"/>
    <col min="14088" max="14088" width="13.88671875" style="193" customWidth="1"/>
    <col min="14089" max="14089" width="19.33203125" style="193" customWidth="1"/>
    <col min="14090" max="14090" width="14.6640625" style="193" customWidth="1"/>
    <col min="14091" max="14091" width="19.88671875" style="193" customWidth="1"/>
    <col min="14092" max="14092" width="14.5546875" style="193" customWidth="1"/>
    <col min="14093" max="14093" width="12.44140625" style="193" bestFit="1" customWidth="1"/>
    <col min="14094" max="14339" width="9.109375" style="193"/>
    <col min="14340" max="14340" width="90.109375" style="193" customWidth="1"/>
    <col min="14341" max="14341" width="18" style="193" customWidth="1"/>
    <col min="14342" max="14342" width="15.5546875" style="193" customWidth="1"/>
    <col min="14343" max="14343" width="19.44140625" style="193" customWidth="1"/>
    <col min="14344" max="14344" width="13.88671875" style="193" customWidth="1"/>
    <col min="14345" max="14345" width="19.33203125" style="193" customWidth="1"/>
    <col min="14346" max="14346" width="14.6640625" style="193" customWidth="1"/>
    <col min="14347" max="14347" width="19.88671875" style="193" customWidth="1"/>
    <col min="14348" max="14348" width="14.5546875" style="193" customWidth="1"/>
    <col min="14349" max="14349" width="12.44140625" style="193" bestFit="1" customWidth="1"/>
    <col min="14350" max="14595" width="9.109375" style="193"/>
    <col min="14596" max="14596" width="90.109375" style="193" customWidth="1"/>
    <col min="14597" max="14597" width="18" style="193" customWidth="1"/>
    <col min="14598" max="14598" width="15.5546875" style="193" customWidth="1"/>
    <col min="14599" max="14599" width="19.44140625" style="193" customWidth="1"/>
    <col min="14600" max="14600" width="13.88671875" style="193" customWidth="1"/>
    <col min="14601" max="14601" width="19.33203125" style="193" customWidth="1"/>
    <col min="14602" max="14602" width="14.6640625" style="193" customWidth="1"/>
    <col min="14603" max="14603" width="19.88671875" style="193" customWidth="1"/>
    <col min="14604" max="14604" width="14.5546875" style="193" customWidth="1"/>
    <col min="14605" max="14605" width="12.44140625" style="193" bestFit="1" customWidth="1"/>
    <col min="14606" max="14851" width="9.109375" style="193"/>
    <col min="14852" max="14852" width="90.109375" style="193" customWidth="1"/>
    <col min="14853" max="14853" width="18" style="193" customWidth="1"/>
    <col min="14854" max="14854" width="15.5546875" style="193" customWidth="1"/>
    <col min="14855" max="14855" width="19.44140625" style="193" customWidth="1"/>
    <col min="14856" max="14856" width="13.88671875" style="193" customWidth="1"/>
    <col min="14857" max="14857" width="19.33203125" style="193" customWidth="1"/>
    <col min="14858" max="14858" width="14.6640625" style="193" customWidth="1"/>
    <col min="14859" max="14859" width="19.88671875" style="193" customWidth="1"/>
    <col min="14860" max="14860" width="14.5546875" style="193" customWidth="1"/>
    <col min="14861" max="14861" width="12.44140625" style="193" bestFit="1" customWidth="1"/>
    <col min="14862" max="15107" width="9.109375" style="193"/>
    <col min="15108" max="15108" width="90.109375" style="193" customWidth="1"/>
    <col min="15109" max="15109" width="18" style="193" customWidth="1"/>
    <col min="15110" max="15110" width="15.5546875" style="193" customWidth="1"/>
    <col min="15111" max="15111" width="19.44140625" style="193" customWidth="1"/>
    <col min="15112" max="15112" width="13.88671875" style="193" customWidth="1"/>
    <col min="15113" max="15113" width="19.33203125" style="193" customWidth="1"/>
    <col min="15114" max="15114" width="14.6640625" style="193" customWidth="1"/>
    <col min="15115" max="15115" width="19.88671875" style="193" customWidth="1"/>
    <col min="15116" max="15116" width="14.5546875" style="193" customWidth="1"/>
    <col min="15117" max="15117" width="12.44140625" style="193" bestFit="1" customWidth="1"/>
    <col min="15118" max="15363" width="9.109375" style="193"/>
    <col min="15364" max="15364" width="90.109375" style="193" customWidth="1"/>
    <col min="15365" max="15365" width="18" style="193" customWidth="1"/>
    <col min="15366" max="15366" width="15.5546875" style="193" customWidth="1"/>
    <col min="15367" max="15367" width="19.44140625" style="193" customWidth="1"/>
    <col min="15368" max="15368" width="13.88671875" style="193" customWidth="1"/>
    <col min="15369" max="15369" width="19.33203125" style="193" customWidth="1"/>
    <col min="15370" max="15370" width="14.6640625" style="193" customWidth="1"/>
    <col min="15371" max="15371" width="19.88671875" style="193" customWidth="1"/>
    <col min="15372" max="15372" width="14.5546875" style="193" customWidth="1"/>
    <col min="15373" max="15373" width="12.44140625" style="193" bestFit="1" customWidth="1"/>
    <col min="15374" max="15619" width="9.109375" style="193"/>
    <col min="15620" max="15620" width="90.109375" style="193" customWidth="1"/>
    <col min="15621" max="15621" width="18" style="193" customWidth="1"/>
    <col min="15622" max="15622" width="15.5546875" style="193" customWidth="1"/>
    <col min="15623" max="15623" width="19.44140625" style="193" customWidth="1"/>
    <col min="15624" max="15624" width="13.88671875" style="193" customWidth="1"/>
    <col min="15625" max="15625" width="19.33203125" style="193" customWidth="1"/>
    <col min="15626" max="15626" width="14.6640625" style="193" customWidth="1"/>
    <col min="15627" max="15627" width="19.88671875" style="193" customWidth="1"/>
    <col min="15628" max="15628" width="14.5546875" style="193" customWidth="1"/>
    <col min="15629" max="15629" width="12.44140625" style="193" bestFit="1" customWidth="1"/>
    <col min="15630" max="15875" width="9.109375" style="193"/>
    <col min="15876" max="15876" width="90.109375" style="193" customWidth="1"/>
    <col min="15877" max="15877" width="18" style="193" customWidth="1"/>
    <col min="15878" max="15878" width="15.5546875" style="193" customWidth="1"/>
    <col min="15879" max="15879" width="19.44140625" style="193" customWidth="1"/>
    <col min="15880" max="15880" width="13.88671875" style="193" customWidth="1"/>
    <col min="15881" max="15881" width="19.33203125" style="193" customWidth="1"/>
    <col min="15882" max="15882" width="14.6640625" style="193" customWidth="1"/>
    <col min="15883" max="15883" width="19.88671875" style="193" customWidth="1"/>
    <col min="15884" max="15884" width="14.5546875" style="193" customWidth="1"/>
    <col min="15885" max="15885" width="12.44140625" style="193" bestFit="1" customWidth="1"/>
    <col min="15886" max="16131" width="9.109375" style="193"/>
    <col min="16132" max="16132" width="90.109375" style="193" customWidth="1"/>
    <col min="16133" max="16133" width="18" style="193" customWidth="1"/>
    <col min="16134" max="16134" width="15.5546875" style="193" customWidth="1"/>
    <col min="16135" max="16135" width="19.44140625" style="193" customWidth="1"/>
    <col min="16136" max="16136" width="13.88671875" style="193" customWidth="1"/>
    <col min="16137" max="16137" width="19.33203125" style="193" customWidth="1"/>
    <col min="16138" max="16138" width="14.6640625" style="193" customWidth="1"/>
    <col min="16139" max="16139" width="19.88671875" style="193" customWidth="1"/>
    <col min="16140" max="16140" width="14.5546875" style="193" customWidth="1"/>
    <col min="16141" max="16141" width="12.44140625" style="193" bestFit="1" customWidth="1"/>
    <col min="16142" max="16384" width="9.109375" style="193"/>
  </cols>
  <sheetData>
    <row r="1" spans="1:12" x14ac:dyDescent="0.3">
      <c r="A1" s="194"/>
      <c r="B1" s="194"/>
      <c r="C1" s="194"/>
      <c r="D1" s="194"/>
      <c r="E1" s="195"/>
      <c r="F1" s="195"/>
      <c r="G1" s="195"/>
      <c r="H1" s="195"/>
      <c r="I1" s="195"/>
      <c r="J1" s="195"/>
      <c r="K1" s="195"/>
      <c r="L1" s="195"/>
    </row>
    <row r="2" spans="1:12" x14ac:dyDescent="0.3">
      <c r="A2" s="919" t="s">
        <v>613</v>
      </c>
      <c r="B2" s="919"/>
      <c r="C2" s="919"/>
      <c r="D2" s="919"/>
      <c r="E2" s="919"/>
      <c r="F2" s="283"/>
      <c r="G2" s="283"/>
      <c r="H2" s="283"/>
      <c r="I2" s="283"/>
      <c r="J2" s="196"/>
      <c r="K2" s="196"/>
      <c r="L2" s="196"/>
    </row>
    <row r="3" spans="1:12" x14ac:dyDescent="0.3">
      <c r="A3" s="919" t="s">
        <v>614</v>
      </c>
      <c r="B3" s="919"/>
      <c r="C3" s="919"/>
      <c r="D3" s="919"/>
      <c r="E3" s="919"/>
      <c r="F3" s="283"/>
      <c r="G3" s="283"/>
      <c r="H3" s="283"/>
      <c r="I3" s="283"/>
      <c r="J3" s="196"/>
      <c r="K3" s="196"/>
      <c r="L3" s="196"/>
    </row>
    <row r="4" spans="1:12" x14ac:dyDescent="0.3">
      <c r="A4" s="919" t="s">
        <v>178</v>
      </c>
      <c r="B4" s="919"/>
      <c r="C4" s="919"/>
      <c r="D4" s="919"/>
      <c r="E4" s="919"/>
      <c r="F4" s="283"/>
      <c r="G4" s="283"/>
      <c r="H4" s="283"/>
      <c r="I4" s="283"/>
      <c r="J4" s="196"/>
      <c r="K4" s="196"/>
      <c r="L4" s="196"/>
    </row>
    <row r="5" spans="1:12" x14ac:dyDescent="0.3">
      <c r="A5" s="194"/>
      <c r="B5" s="194"/>
      <c r="C5" s="194"/>
      <c r="D5" s="194"/>
      <c r="E5" s="195" t="s">
        <v>210</v>
      </c>
      <c r="G5" s="195"/>
      <c r="I5" s="195"/>
      <c r="J5" s="195"/>
      <c r="K5" s="195"/>
      <c r="L5" s="195"/>
    </row>
    <row r="6" spans="1:12" x14ac:dyDescent="0.3">
      <c r="A6" s="194"/>
      <c r="B6" s="194"/>
      <c r="C6" s="194"/>
      <c r="D6" s="194"/>
      <c r="E6" s="195"/>
      <c r="F6" s="195"/>
      <c r="G6" s="195"/>
      <c r="H6" s="195"/>
      <c r="I6" s="195"/>
      <c r="J6" s="195"/>
      <c r="K6" s="195"/>
      <c r="L6" s="195"/>
    </row>
    <row r="7" spans="1:12" x14ac:dyDescent="0.3">
      <c r="A7" s="194"/>
      <c r="B7" s="194"/>
      <c r="C7" s="194"/>
      <c r="D7" s="194"/>
      <c r="E7" s="195"/>
      <c r="F7" s="195"/>
      <c r="G7" s="195"/>
      <c r="H7" s="195"/>
      <c r="I7" s="195"/>
      <c r="J7" s="195"/>
      <c r="K7" s="195"/>
      <c r="L7" s="195"/>
    </row>
    <row r="10" spans="1:12" ht="35.25" customHeight="1" x14ac:dyDescent="0.3">
      <c r="A10" s="920" t="s">
        <v>589</v>
      </c>
      <c r="B10" s="920"/>
      <c r="C10" s="920"/>
      <c r="D10" s="920"/>
      <c r="E10" s="920"/>
    </row>
    <row r="11" spans="1:12" x14ac:dyDescent="0.3">
      <c r="A11" s="267"/>
    </row>
  </sheetData>
  <mergeCells count="4">
    <mergeCell ref="A2:E2"/>
    <mergeCell ref="A3:E3"/>
    <mergeCell ref="A10:E10"/>
    <mergeCell ref="A4:E4"/>
  </mergeCells>
  <printOptions horizontalCentered="1" verticalCentered="1"/>
  <pageMargins left="0.51181102362204722" right="0.78740157480314965" top="0.78740157480314965" bottom="0.78740157480314965" header="0.78740157480314965" footer="0.78740157480314965"/>
  <pageSetup paperSize="9" scale="55" orientation="landscape" r:id="rId1"/>
  <headerFooter alignWithMargins="0">
    <oddHeader xml:space="preserve">&amp;C&amp;"Times New Roman,Normál"&amp;12
</oddHeader>
  </headerFooter>
  <colBreaks count="1" manualBreakCount="1">
    <brk id="9" max="19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1"/>
  <sheetViews>
    <sheetView zoomScaleNormal="100" workbookViewId="0">
      <selection activeCell="A8" sqref="A8"/>
    </sheetView>
  </sheetViews>
  <sheetFormatPr defaultRowHeight="13.2" x14ac:dyDescent="0.25"/>
  <cols>
    <col min="1" max="1" width="21.33203125" customWidth="1"/>
    <col min="2" max="2" width="9.109375" customWidth="1"/>
    <col min="3" max="3" width="10" customWidth="1"/>
    <col min="4" max="4" width="14.88671875" customWidth="1"/>
  </cols>
  <sheetData>
    <row r="1" spans="1:13" x14ac:dyDescent="0.25">
      <c r="A1" s="701" t="s">
        <v>535</v>
      </c>
      <c r="B1" s="701"/>
      <c r="C1" s="701"/>
      <c r="D1" s="701"/>
      <c r="E1" s="701"/>
      <c r="F1" s="701"/>
      <c r="G1" s="701"/>
      <c r="H1" s="701"/>
      <c r="I1" s="701"/>
      <c r="K1" s="8"/>
      <c r="L1" s="8"/>
      <c r="M1" s="8"/>
    </row>
    <row r="2" spans="1:13" x14ac:dyDescent="0.25">
      <c r="A2" s="701" t="s">
        <v>180</v>
      </c>
      <c r="B2" s="701"/>
      <c r="C2" s="701"/>
      <c r="D2" s="701"/>
      <c r="E2" s="701"/>
      <c r="F2" s="701"/>
      <c r="G2" s="701"/>
      <c r="H2" s="701"/>
      <c r="I2" s="701"/>
      <c r="J2" s="8"/>
      <c r="K2" s="8"/>
      <c r="L2" s="8"/>
      <c r="M2" s="8"/>
    </row>
    <row r="3" spans="1:13" x14ac:dyDescent="0.25">
      <c r="A3" s="8"/>
      <c r="B3" s="8"/>
      <c r="C3" s="8"/>
      <c r="D3" s="8"/>
      <c r="E3" s="8"/>
      <c r="F3" s="8"/>
      <c r="G3" s="8"/>
      <c r="H3" s="8"/>
      <c r="I3" s="283" t="s">
        <v>211</v>
      </c>
      <c r="J3" s="8"/>
      <c r="K3" s="8"/>
      <c r="L3" s="8"/>
      <c r="M3" s="8"/>
    </row>
    <row r="4" spans="1:13" x14ac:dyDescent="0.25">
      <c r="A4" s="8"/>
      <c r="B4" s="8"/>
      <c r="D4" s="283"/>
      <c r="E4" s="283"/>
      <c r="F4" s="283"/>
      <c r="G4" s="283"/>
      <c r="H4" s="283"/>
      <c r="I4" s="8"/>
      <c r="J4" s="8"/>
      <c r="K4" s="8"/>
      <c r="L4" s="8"/>
      <c r="M4" s="8"/>
    </row>
    <row r="5" spans="1:13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8" t="s">
        <v>588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41.25" customHeight="1" x14ac:dyDescent="0.25">
      <c r="A9" s="827"/>
      <c r="B9" s="827"/>
      <c r="C9" s="827"/>
      <c r="D9" s="827"/>
      <c r="E9" s="827"/>
      <c r="F9" s="827"/>
      <c r="G9" s="827"/>
      <c r="H9" s="827"/>
      <c r="I9" s="827"/>
      <c r="J9" s="8"/>
      <c r="K9" s="8"/>
      <c r="L9" s="8"/>
      <c r="M9" s="8"/>
    </row>
    <row r="10" spans="1:13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</sheetData>
  <mergeCells count="3">
    <mergeCell ref="A9:I9"/>
    <mergeCell ref="A1:I1"/>
    <mergeCell ref="A2:I2"/>
  </mergeCells>
  <pageMargins left="0.7" right="0.7" top="0.75" bottom="0.75" header="0.3" footer="0.3"/>
  <pageSetup paperSize="9" scale="7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59DF-A8A1-4DB5-8387-A684B431DFB4}">
  <sheetPr>
    <pageSetUpPr fitToPage="1"/>
  </sheetPr>
  <dimension ref="A1:P110"/>
  <sheetViews>
    <sheetView topLeftCell="D1" zoomScaleNormal="100" workbookViewId="0">
      <selection activeCell="L1" sqref="L1"/>
    </sheetView>
  </sheetViews>
  <sheetFormatPr defaultColWidth="9.109375" defaultRowHeight="15.6" x14ac:dyDescent="0.3"/>
  <cols>
    <col min="1" max="1" width="9.109375" style="349"/>
    <col min="2" max="2" width="19.44140625" style="349" customWidth="1"/>
    <col min="3" max="3" width="15.88671875" style="349" customWidth="1"/>
    <col min="4" max="4" width="24.88671875" style="349" customWidth="1"/>
    <col min="5" max="5" width="18.6640625" style="349" customWidth="1"/>
    <col min="6" max="6" width="20.33203125" style="349" customWidth="1"/>
    <col min="7" max="7" width="16.109375" style="349" customWidth="1"/>
    <col min="8" max="8" width="20.5546875" style="349" hidden="1" customWidth="1"/>
    <col min="9" max="9" width="20.5546875" style="349" customWidth="1"/>
    <col min="10" max="10" width="18.5546875" style="349" customWidth="1"/>
    <col min="11" max="11" width="9.109375" style="349"/>
    <col min="12" max="12" width="21.88671875" style="349" customWidth="1"/>
    <col min="13" max="13" width="14.6640625" style="349" customWidth="1"/>
    <col min="14" max="16384" width="9.109375" style="349"/>
  </cols>
  <sheetData>
    <row r="1" spans="1:13" x14ac:dyDescent="0.3">
      <c r="F1" s="833" t="s">
        <v>376</v>
      </c>
      <c r="G1" s="833"/>
    </row>
    <row r="2" spans="1:13" ht="33.75" customHeight="1" x14ac:dyDescent="0.3">
      <c r="A2" s="350"/>
      <c r="B2" s="834" t="s">
        <v>612</v>
      </c>
      <c r="C2" s="834"/>
      <c r="D2" s="834"/>
      <c r="E2" s="834"/>
      <c r="F2" s="834"/>
      <c r="G2" s="834"/>
      <c r="H2" s="834"/>
      <c r="I2" s="351"/>
      <c r="J2" s="350"/>
      <c r="K2" s="350"/>
      <c r="L2" s="350"/>
      <c r="M2" s="350"/>
    </row>
    <row r="3" spans="1:13" x14ac:dyDescent="0.3">
      <c r="A3" s="350"/>
      <c r="B3" s="350"/>
      <c r="C3" s="350"/>
      <c r="D3" s="350"/>
      <c r="E3" s="352"/>
      <c r="F3" s="353"/>
      <c r="G3" s="350"/>
      <c r="H3" s="350"/>
      <c r="I3" s="350"/>
      <c r="J3" s="350"/>
      <c r="K3" s="350"/>
      <c r="L3" s="350"/>
      <c r="M3" s="350"/>
    </row>
    <row r="4" spans="1:13" x14ac:dyDescent="0.3">
      <c r="A4" s="350"/>
      <c r="B4" s="350" t="s">
        <v>536</v>
      </c>
      <c r="C4" s="350"/>
      <c r="D4" s="350"/>
      <c r="E4" s="350"/>
      <c r="F4" s="350"/>
      <c r="G4" s="352">
        <f>'[3]2023 tagdíj (2)'!$G$4</f>
        <v>178687977</v>
      </c>
      <c r="H4" s="350"/>
      <c r="I4" s="368"/>
      <c r="J4" s="368"/>
      <c r="K4" s="350"/>
      <c r="L4" s="350"/>
      <c r="M4" s="350"/>
    </row>
    <row r="5" spans="1:13" ht="28.95" customHeight="1" x14ac:dyDescent="0.3">
      <c r="A5" s="350"/>
      <c r="B5" s="835" t="s">
        <v>594</v>
      </c>
      <c r="C5" s="835"/>
      <c r="D5" s="835"/>
      <c r="E5" s="835"/>
      <c r="F5" s="835"/>
      <c r="G5" s="352">
        <f>'[1]CSGYK 2024'!F118</f>
        <v>4824005</v>
      </c>
      <c r="H5" s="350"/>
      <c r="I5" s="357">
        <f>SUM(G5:G6)</f>
        <v>41949605</v>
      </c>
      <c r="J5" s="368"/>
      <c r="K5" s="368"/>
      <c r="L5" s="350"/>
      <c r="M5" s="350"/>
    </row>
    <row r="6" spans="1:13" ht="31.2" customHeight="1" x14ac:dyDescent="0.3">
      <c r="A6" s="350"/>
      <c r="B6" s="835" t="s">
        <v>595</v>
      </c>
      <c r="C6" s="835"/>
      <c r="D6" s="835"/>
      <c r="E6" s="835"/>
      <c r="F6" s="835"/>
      <c r="G6" s="354">
        <f>'[1]KESZI 2024'!G140</f>
        <v>37125600</v>
      </c>
      <c r="H6" s="355">
        <f>G6+G5</f>
        <v>41949605</v>
      </c>
      <c r="I6" s="357">
        <f>G8-293249542</f>
        <v>11822979.663794637</v>
      </c>
      <c r="J6" s="357">
        <f>G6+G5+G4</f>
        <v>220637582</v>
      </c>
      <c r="K6" s="368"/>
      <c r="L6" s="387">
        <f>I6+I45</f>
        <v>54323060.663794637</v>
      </c>
      <c r="M6" s="350"/>
    </row>
    <row r="7" spans="1:13" ht="31.2" customHeight="1" x14ac:dyDescent="0.3">
      <c r="A7" s="350"/>
      <c r="B7" s="835" t="s">
        <v>609</v>
      </c>
      <c r="C7" s="835"/>
      <c r="D7" s="835"/>
      <c r="E7" s="835"/>
      <c r="F7" s="835"/>
      <c r="G7" s="354">
        <f>[1]Társulás!$I$58</f>
        <v>84434939.663794652</v>
      </c>
      <c r="H7" s="355"/>
      <c r="I7" s="357">
        <f>G7-I6</f>
        <v>72611960.000000015</v>
      </c>
      <c r="J7" s="357">
        <f>J6+I7</f>
        <v>293249542</v>
      </c>
      <c r="K7" s="368"/>
      <c r="L7" s="352"/>
      <c r="M7" s="350"/>
    </row>
    <row r="8" spans="1:13" x14ac:dyDescent="0.3">
      <c r="A8" s="350"/>
      <c r="B8" s="350" t="s">
        <v>611</v>
      </c>
      <c r="C8" s="350"/>
      <c r="D8" s="350"/>
      <c r="E8" s="350"/>
      <c r="F8" s="350"/>
      <c r="G8" s="356">
        <f>SUM(G4:G7)</f>
        <v>305072521.66379464</v>
      </c>
      <c r="H8" s="357">
        <f>G5+G6</f>
        <v>41949605</v>
      </c>
      <c r="I8" s="357"/>
      <c r="J8" s="368"/>
      <c r="K8" s="368"/>
      <c r="L8" s="350"/>
      <c r="M8" s="350"/>
    </row>
    <row r="9" spans="1:13" ht="48" customHeight="1" x14ac:dyDescent="0.3">
      <c r="A9" s="350"/>
      <c r="B9" s="350"/>
      <c r="C9" s="350"/>
      <c r="D9" s="350"/>
      <c r="E9" s="350"/>
      <c r="F9" s="350"/>
      <c r="G9" s="350"/>
      <c r="H9" s="350"/>
      <c r="I9" s="368"/>
      <c r="J9" s="368"/>
      <c r="K9" s="368"/>
      <c r="L9" s="350"/>
      <c r="M9" s="350"/>
    </row>
    <row r="10" spans="1:13" x14ac:dyDescent="0.3">
      <c r="A10" s="350"/>
      <c r="B10" s="350"/>
      <c r="C10" s="350"/>
      <c r="D10" s="358" t="s">
        <v>337</v>
      </c>
      <c r="E10" s="350" t="s">
        <v>338</v>
      </c>
      <c r="F10" s="358"/>
      <c r="G10" s="350"/>
      <c r="H10" s="350"/>
      <c r="I10" s="368"/>
      <c r="J10" s="368"/>
      <c r="K10" s="368"/>
      <c r="L10" s="350"/>
      <c r="M10" s="350"/>
    </row>
    <row r="11" spans="1:13" ht="15.6" customHeight="1" x14ac:dyDescent="0.3">
      <c r="A11" s="359"/>
      <c r="B11" s="359"/>
      <c r="C11" s="359"/>
      <c r="D11" s="360"/>
      <c r="E11" s="836" t="s">
        <v>339</v>
      </c>
      <c r="F11" s="836" t="s">
        <v>557</v>
      </c>
      <c r="G11" s="350"/>
      <c r="H11" s="350"/>
      <c r="I11" s="368"/>
      <c r="J11" s="368"/>
      <c r="K11" s="368"/>
      <c r="L11" s="350"/>
      <c r="M11" s="350"/>
    </row>
    <row r="12" spans="1:13" ht="31.2" x14ac:dyDescent="0.3">
      <c r="A12" s="361" t="s">
        <v>181</v>
      </c>
      <c r="B12" s="361" t="s">
        <v>340</v>
      </c>
      <c r="C12" s="362" t="s">
        <v>596</v>
      </c>
      <c r="D12" s="363" t="s">
        <v>341</v>
      </c>
      <c r="E12" s="837"/>
      <c r="F12" s="837"/>
      <c r="G12" s="350"/>
      <c r="H12" s="350"/>
      <c r="I12" s="368"/>
      <c r="J12" s="368"/>
      <c r="K12" s="368"/>
      <c r="L12" s="350"/>
      <c r="M12" s="350"/>
    </row>
    <row r="13" spans="1:13" x14ac:dyDescent="0.3">
      <c r="A13" s="364" t="s">
        <v>342</v>
      </c>
      <c r="B13" s="364" t="s">
        <v>343</v>
      </c>
      <c r="C13" s="365">
        <v>31954</v>
      </c>
      <c r="D13" s="366">
        <f>1223*C13</f>
        <v>39079742</v>
      </c>
      <c r="E13" s="367">
        <f>270*C13</f>
        <v>8627580</v>
      </c>
      <c r="F13" s="367">
        <f>100*C13</f>
        <v>3195400</v>
      </c>
      <c r="G13" s="350"/>
      <c r="H13" s="350"/>
      <c r="I13" s="368"/>
      <c r="J13" s="368"/>
      <c r="K13" s="368"/>
      <c r="L13" s="350"/>
      <c r="M13" s="350"/>
    </row>
    <row r="14" spans="1:13" x14ac:dyDescent="0.3">
      <c r="A14" s="364" t="s">
        <v>0</v>
      </c>
      <c r="B14" s="364" t="s">
        <v>344</v>
      </c>
      <c r="C14" s="365">
        <v>2225</v>
      </c>
      <c r="D14" s="366">
        <f t="shared" ref="D14:D39" si="0">1223*C14</f>
        <v>2721175</v>
      </c>
      <c r="E14" s="367">
        <f t="shared" ref="E14:E39" si="1">270*C14</f>
        <v>600750</v>
      </c>
      <c r="F14" s="367">
        <f t="shared" ref="F14:F39" si="2">100*C14</f>
        <v>222500</v>
      </c>
      <c r="G14" s="350"/>
      <c r="H14" s="350"/>
      <c r="I14" s="368"/>
      <c r="J14" s="368"/>
      <c r="K14" s="368"/>
      <c r="L14" s="350"/>
      <c r="M14" s="350"/>
    </row>
    <row r="15" spans="1:13" x14ac:dyDescent="0.3">
      <c r="A15" s="364" t="s">
        <v>2</v>
      </c>
      <c r="B15" s="364" t="s">
        <v>345</v>
      </c>
      <c r="C15" s="365">
        <v>1577</v>
      </c>
      <c r="D15" s="366">
        <f t="shared" si="0"/>
        <v>1928671</v>
      </c>
      <c r="E15" s="367">
        <f t="shared" si="1"/>
        <v>425790</v>
      </c>
      <c r="F15" s="367">
        <f t="shared" si="2"/>
        <v>157700</v>
      </c>
      <c r="G15" s="350"/>
      <c r="H15" s="350"/>
      <c r="I15" s="368"/>
      <c r="J15" s="368"/>
      <c r="K15" s="368"/>
      <c r="L15" s="350"/>
      <c r="M15" s="350"/>
    </row>
    <row r="16" spans="1:13" x14ac:dyDescent="0.3">
      <c r="A16" s="364" t="s">
        <v>234</v>
      </c>
      <c r="B16" s="364" t="s">
        <v>346</v>
      </c>
      <c r="C16" s="365">
        <v>2307</v>
      </c>
      <c r="D16" s="366">
        <f t="shared" si="0"/>
        <v>2821461</v>
      </c>
      <c r="E16" s="367">
        <f t="shared" si="1"/>
        <v>622890</v>
      </c>
      <c r="F16" s="367">
        <f t="shared" si="2"/>
        <v>230700</v>
      </c>
      <c r="G16" s="350"/>
      <c r="H16" s="350"/>
      <c r="I16" s="368"/>
      <c r="J16" s="368"/>
      <c r="K16" s="368"/>
      <c r="L16" s="350"/>
      <c r="M16" s="350"/>
    </row>
    <row r="17" spans="1:13" x14ac:dyDescent="0.3">
      <c r="A17" s="364" t="s">
        <v>3</v>
      </c>
      <c r="B17" s="364" t="s">
        <v>347</v>
      </c>
      <c r="C17" s="365">
        <v>278</v>
      </c>
      <c r="D17" s="366">
        <f t="shared" si="0"/>
        <v>339994</v>
      </c>
      <c r="E17" s="367">
        <f t="shared" si="1"/>
        <v>75060</v>
      </c>
      <c r="F17" s="367">
        <f t="shared" si="2"/>
        <v>27800</v>
      </c>
      <c r="G17" s="350"/>
      <c r="H17" s="350"/>
      <c r="I17" s="368"/>
      <c r="J17" s="368"/>
      <c r="K17" s="368"/>
      <c r="L17" s="350"/>
      <c r="M17" s="350"/>
    </row>
    <row r="18" spans="1:13" x14ac:dyDescent="0.3">
      <c r="A18" s="364" t="s">
        <v>4</v>
      </c>
      <c r="B18" s="364" t="s">
        <v>348</v>
      </c>
      <c r="C18" s="365">
        <v>1900</v>
      </c>
      <c r="D18" s="366">
        <f t="shared" si="0"/>
        <v>2323700</v>
      </c>
      <c r="E18" s="367">
        <f t="shared" si="1"/>
        <v>513000</v>
      </c>
      <c r="F18" s="367">
        <f t="shared" si="2"/>
        <v>190000</v>
      </c>
      <c r="G18" s="350"/>
      <c r="H18" s="350"/>
      <c r="I18" s="368"/>
      <c r="J18" s="368"/>
      <c r="K18" s="368"/>
      <c r="L18" s="350"/>
      <c r="M18" s="350"/>
    </row>
    <row r="19" spans="1:13" x14ac:dyDescent="0.3">
      <c r="A19" s="364" t="s">
        <v>6</v>
      </c>
      <c r="B19" s="364" t="s">
        <v>349</v>
      </c>
      <c r="C19" s="365">
        <v>1663</v>
      </c>
      <c r="D19" s="366">
        <f t="shared" si="0"/>
        <v>2033849</v>
      </c>
      <c r="E19" s="367">
        <f t="shared" si="1"/>
        <v>449010</v>
      </c>
      <c r="F19" s="367">
        <f t="shared" si="2"/>
        <v>166300</v>
      </c>
      <c r="G19" s="350"/>
      <c r="H19" s="350"/>
      <c r="I19" s="368"/>
      <c r="J19" s="368"/>
      <c r="K19" s="368"/>
      <c r="L19" s="350"/>
      <c r="M19" s="350"/>
    </row>
    <row r="20" spans="1:13" x14ac:dyDescent="0.3">
      <c r="A20" s="364" t="s">
        <v>8</v>
      </c>
      <c r="B20" s="364" t="s">
        <v>350</v>
      </c>
      <c r="C20" s="365">
        <v>723</v>
      </c>
      <c r="D20" s="366">
        <f t="shared" si="0"/>
        <v>884229</v>
      </c>
      <c r="E20" s="367">
        <f t="shared" si="1"/>
        <v>195210</v>
      </c>
      <c r="F20" s="367">
        <f t="shared" si="2"/>
        <v>72300</v>
      </c>
      <c r="G20" s="350"/>
      <c r="H20" s="350"/>
      <c r="I20" s="368"/>
      <c r="J20" s="368"/>
      <c r="K20" s="368"/>
      <c r="L20" s="350"/>
      <c r="M20" s="350"/>
    </row>
    <row r="21" spans="1:13" x14ac:dyDescent="0.3">
      <c r="A21" s="364" t="s">
        <v>351</v>
      </c>
      <c r="B21" s="364" t="s">
        <v>352</v>
      </c>
      <c r="C21" s="365">
        <v>3341</v>
      </c>
      <c r="D21" s="366">
        <f t="shared" si="0"/>
        <v>4086043</v>
      </c>
      <c r="E21" s="367">
        <f t="shared" si="1"/>
        <v>902070</v>
      </c>
      <c r="F21" s="367">
        <f t="shared" si="2"/>
        <v>334100</v>
      </c>
      <c r="G21" s="350"/>
      <c r="H21" s="350"/>
      <c r="I21" s="368"/>
      <c r="J21" s="368"/>
      <c r="K21" s="368"/>
      <c r="L21" s="350"/>
      <c r="M21" s="350"/>
    </row>
    <row r="22" spans="1:13" x14ac:dyDescent="0.3">
      <c r="A22" s="364" t="s">
        <v>9</v>
      </c>
      <c r="B22" s="364" t="s">
        <v>353</v>
      </c>
      <c r="C22" s="365">
        <v>4036</v>
      </c>
      <c r="D22" s="366">
        <f t="shared" si="0"/>
        <v>4936028</v>
      </c>
      <c r="E22" s="367">
        <f t="shared" si="1"/>
        <v>1089720</v>
      </c>
      <c r="F22" s="367">
        <f t="shared" si="2"/>
        <v>403600</v>
      </c>
      <c r="G22" s="350"/>
      <c r="H22" s="350"/>
      <c r="I22" s="368"/>
      <c r="J22" s="368"/>
      <c r="K22" s="368"/>
      <c r="L22" s="350"/>
      <c r="M22" s="350"/>
    </row>
    <row r="23" spans="1:13" x14ac:dyDescent="0.3">
      <c r="A23" s="364" t="s">
        <v>10</v>
      </c>
      <c r="B23" s="364" t="s">
        <v>354</v>
      </c>
      <c r="C23" s="365">
        <v>1332</v>
      </c>
      <c r="D23" s="366">
        <f t="shared" si="0"/>
        <v>1629036</v>
      </c>
      <c r="E23" s="367">
        <f t="shared" si="1"/>
        <v>359640</v>
      </c>
      <c r="F23" s="367">
        <f t="shared" si="2"/>
        <v>133200</v>
      </c>
      <c r="G23" s="350"/>
      <c r="H23" s="350"/>
      <c r="I23" s="368"/>
      <c r="J23" s="368"/>
      <c r="K23" s="368"/>
      <c r="L23" s="350"/>
      <c r="M23" s="350"/>
    </row>
    <row r="24" spans="1:13" x14ac:dyDescent="0.3">
      <c r="A24" s="364" t="s">
        <v>12</v>
      </c>
      <c r="B24" s="364" t="s">
        <v>355</v>
      </c>
      <c r="C24" s="365">
        <v>6133</v>
      </c>
      <c r="D24" s="366">
        <f t="shared" si="0"/>
        <v>7500659</v>
      </c>
      <c r="E24" s="367">
        <f t="shared" si="1"/>
        <v>1655910</v>
      </c>
      <c r="F24" s="367">
        <f t="shared" si="2"/>
        <v>613300</v>
      </c>
      <c r="G24" s="350"/>
      <c r="H24" s="350"/>
      <c r="I24" s="368"/>
      <c r="J24" s="368"/>
      <c r="K24" s="368"/>
      <c r="L24" s="350"/>
      <c r="M24" s="350"/>
    </row>
    <row r="25" spans="1:13" x14ac:dyDescent="0.3">
      <c r="A25" s="364" t="s">
        <v>13</v>
      </c>
      <c r="B25" s="364" t="s">
        <v>356</v>
      </c>
      <c r="C25" s="365">
        <v>570</v>
      </c>
      <c r="D25" s="366">
        <f t="shared" si="0"/>
        <v>697110</v>
      </c>
      <c r="E25" s="367">
        <f t="shared" si="1"/>
        <v>153900</v>
      </c>
      <c r="F25" s="367">
        <f t="shared" si="2"/>
        <v>57000</v>
      </c>
      <c r="G25" s="350"/>
      <c r="H25" s="350"/>
      <c r="I25" s="368"/>
      <c r="J25" s="368"/>
      <c r="K25" s="368"/>
      <c r="L25" s="350"/>
      <c r="M25" s="350"/>
    </row>
    <row r="26" spans="1:13" x14ac:dyDescent="0.3">
      <c r="A26" s="364" t="s">
        <v>14</v>
      </c>
      <c r="B26" s="364" t="s">
        <v>357</v>
      </c>
      <c r="C26" s="365">
        <v>2378</v>
      </c>
      <c r="D26" s="366">
        <f t="shared" si="0"/>
        <v>2908294</v>
      </c>
      <c r="E26" s="367">
        <f t="shared" si="1"/>
        <v>642060</v>
      </c>
      <c r="F26" s="367">
        <f t="shared" si="2"/>
        <v>237800</v>
      </c>
      <c r="G26" s="350"/>
      <c r="H26" s="350"/>
      <c r="I26" s="368"/>
      <c r="J26" s="368"/>
      <c r="K26" s="368"/>
      <c r="L26" s="350"/>
      <c r="M26" s="350"/>
    </row>
    <row r="27" spans="1:13" x14ac:dyDescent="0.3">
      <c r="A27" s="364" t="s">
        <v>102</v>
      </c>
      <c r="B27" s="364" t="s">
        <v>358</v>
      </c>
      <c r="C27" s="365">
        <v>385</v>
      </c>
      <c r="D27" s="366">
        <f t="shared" si="0"/>
        <v>470855</v>
      </c>
      <c r="E27" s="367">
        <f t="shared" si="1"/>
        <v>103950</v>
      </c>
      <c r="F27" s="367">
        <f t="shared" si="2"/>
        <v>38500</v>
      </c>
      <c r="G27" s="350"/>
      <c r="H27" s="350"/>
      <c r="I27" s="368"/>
      <c r="J27" s="357">
        <f>D41-D13+F41-F13+D74-D46+I74-I46</f>
        <v>118881952.36059387</v>
      </c>
      <c r="K27" s="368"/>
      <c r="L27" s="368" t="s">
        <v>539</v>
      </c>
      <c r="M27" s="368">
        <v>58.5</v>
      </c>
    </row>
    <row r="28" spans="1:13" x14ac:dyDescent="0.3">
      <c r="A28" s="364" t="s">
        <v>103</v>
      </c>
      <c r="B28" s="364" t="s">
        <v>359</v>
      </c>
      <c r="C28" s="365">
        <v>2429</v>
      </c>
      <c r="D28" s="366">
        <f t="shared" si="0"/>
        <v>2970667</v>
      </c>
      <c r="E28" s="367">
        <f t="shared" si="1"/>
        <v>655830</v>
      </c>
      <c r="F28" s="367">
        <f t="shared" si="2"/>
        <v>242900</v>
      </c>
      <c r="G28" s="350"/>
      <c r="H28" s="350"/>
      <c r="I28" s="368"/>
      <c r="J28" s="368"/>
      <c r="K28" s="368"/>
      <c r="L28" s="368" t="s">
        <v>538</v>
      </c>
      <c r="M28" s="368">
        <v>143</v>
      </c>
    </row>
    <row r="29" spans="1:13" x14ac:dyDescent="0.3">
      <c r="A29" s="364" t="s">
        <v>105</v>
      </c>
      <c r="B29" s="364" t="s">
        <v>360</v>
      </c>
      <c r="C29" s="365">
        <v>3346</v>
      </c>
      <c r="D29" s="366">
        <f t="shared" si="0"/>
        <v>4092158</v>
      </c>
      <c r="E29" s="367">
        <f t="shared" si="1"/>
        <v>903420</v>
      </c>
      <c r="F29" s="367">
        <f t="shared" si="2"/>
        <v>334600</v>
      </c>
      <c r="G29" s="350"/>
      <c r="H29" s="350"/>
      <c r="I29" s="368"/>
      <c r="J29" s="368"/>
      <c r="K29" s="368"/>
      <c r="L29" s="368" t="s">
        <v>38</v>
      </c>
      <c r="M29" s="368">
        <f>SUM(M27:M28)</f>
        <v>201.5</v>
      </c>
    </row>
    <row r="30" spans="1:13" x14ac:dyDescent="0.3">
      <c r="A30" s="364" t="s">
        <v>106</v>
      </c>
      <c r="B30" s="364" t="s">
        <v>361</v>
      </c>
      <c r="C30" s="365">
        <v>866</v>
      </c>
      <c r="D30" s="366">
        <f t="shared" si="0"/>
        <v>1059118</v>
      </c>
      <c r="E30" s="367">
        <f t="shared" si="1"/>
        <v>233820</v>
      </c>
      <c r="F30" s="367">
        <f t="shared" si="2"/>
        <v>86600</v>
      </c>
      <c r="G30" s="350"/>
      <c r="H30" s="350"/>
      <c r="I30" s="368"/>
      <c r="J30" s="368"/>
      <c r="K30" s="368"/>
      <c r="L30" s="368"/>
      <c r="M30" s="368"/>
    </row>
    <row r="31" spans="1:13" x14ac:dyDescent="0.3">
      <c r="A31" s="364" t="s">
        <v>107</v>
      </c>
      <c r="B31" s="364" t="s">
        <v>362</v>
      </c>
      <c r="C31" s="365">
        <v>2209</v>
      </c>
      <c r="D31" s="366">
        <f t="shared" si="0"/>
        <v>2701607</v>
      </c>
      <c r="E31" s="367">
        <f t="shared" si="1"/>
        <v>596430</v>
      </c>
      <c r="F31" s="367">
        <f t="shared" si="2"/>
        <v>220900</v>
      </c>
      <c r="G31" s="350"/>
      <c r="H31" s="350"/>
      <c r="I31" s="350"/>
      <c r="J31" s="350"/>
      <c r="K31" s="350"/>
      <c r="L31" s="368" t="s">
        <v>539</v>
      </c>
      <c r="M31" s="368"/>
    </row>
    <row r="32" spans="1:13" x14ac:dyDescent="0.3">
      <c r="A32" s="364" t="s">
        <v>108</v>
      </c>
      <c r="B32" s="364" t="s">
        <v>363</v>
      </c>
      <c r="C32" s="365">
        <v>660</v>
      </c>
      <c r="D32" s="366">
        <f t="shared" si="0"/>
        <v>807180</v>
      </c>
      <c r="E32" s="367">
        <f t="shared" si="1"/>
        <v>178200</v>
      </c>
      <c r="F32" s="367">
        <f t="shared" si="2"/>
        <v>66000</v>
      </c>
      <c r="G32" s="350"/>
      <c r="H32" s="350"/>
      <c r="I32" s="350"/>
      <c r="J32" s="350"/>
      <c r="K32" s="350"/>
      <c r="L32" s="368" t="s">
        <v>597</v>
      </c>
      <c r="M32" s="357">
        <f>F41</f>
        <v>8426100</v>
      </c>
    </row>
    <row r="33" spans="1:16" x14ac:dyDescent="0.3">
      <c r="A33" s="364" t="s">
        <v>109</v>
      </c>
      <c r="B33" s="364" t="s">
        <v>364</v>
      </c>
      <c r="C33" s="365">
        <v>2714</v>
      </c>
      <c r="D33" s="366">
        <f t="shared" si="0"/>
        <v>3319222</v>
      </c>
      <c r="E33" s="367">
        <f t="shared" si="1"/>
        <v>732780</v>
      </c>
      <c r="F33" s="367">
        <f t="shared" si="2"/>
        <v>271400</v>
      </c>
      <c r="G33" s="350"/>
      <c r="H33" s="350"/>
      <c r="I33" s="350"/>
      <c r="J33" s="350"/>
      <c r="K33" s="350"/>
      <c r="L33" s="368" t="s">
        <v>598</v>
      </c>
      <c r="M33" s="357">
        <f>D41/M29*M27</f>
        <v>29918091.193548389</v>
      </c>
    </row>
    <row r="34" spans="1:16" x14ac:dyDescent="0.3">
      <c r="A34" s="364" t="s">
        <v>111</v>
      </c>
      <c r="B34" s="364" t="s">
        <v>365</v>
      </c>
      <c r="C34" s="365">
        <v>1891</v>
      </c>
      <c r="D34" s="366">
        <f t="shared" si="0"/>
        <v>2312693</v>
      </c>
      <c r="E34" s="367">
        <f t="shared" si="1"/>
        <v>510570</v>
      </c>
      <c r="F34" s="367">
        <f t="shared" si="2"/>
        <v>189100</v>
      </c>
      <c r="G34" s="350"/>
      <c r="H34" s="350"/>
      <c r="I34" s="350"/>
      <c r="J34" s="368"/>
      <c r="K34" s="368" t="s">
        <v>537</v>
      </c>
      <c r="L34" s="368" t="s">
        <v>599</v>
      </c>
      <c r="M34" s="357">
        <f>D74/M29*M27</f>
        <v>10891895.207000829</v>
      </c>
    </row>
    <row r="35" spans="1:16" x14ac:dyDescent="0.3">
      <c r="A35" s="364" t="s">
        <v>112</v>
      </c>
      <c r="B35" s="364" t="s">
        <v>366</v>
      </c>
      <c r="C35" s="365">
        <v>426</v>
      </c>
      <c r="D35" s="366">
        <f t="shared" si="0"/>
        <v>520998</v>
      </c>
      <c r="E35" s="367">
        <f t="shared" si="1"/>
        <v>115020</v>
      </c>
      <c r="F35" s="367">
        <f t="shared" si="2"/>
        <v>42600</v>
      </c>
      <c r="G35" s="350"/>
      <c r="H35" s="350"/>
      <c r="I35" s="350"/>
      <c r="J35" s="368" t="s">
        <v>538</v>
      </c>
      <c r="K35" s="368">
        <v>159</v>
      </c>
      <c r="L35" s="357" t="s">
        <v>600</v>
      </c>
      <c r="M35" s="357">
        <f>I74/201.5*58.5</f>
        <v>12338733.219434546</v>
      </c>
    </row>
    <row r="36" spans="1:16" x14ac:dyDescent="0.3">
      <c r="A36" s="364" t="s">
        <v>235</v>
      </c>
      <c r="B36" s="364" t="s">
        <v>367</v>
      </c>
      <c r="C36" s="365">
        <v>662</v>
      </c>
      <c r="D36" s="366">
        <f t="shared" si="0"/>
        <v>809626</v>
      </c>
      <c r="E36" s="367">
        <f t="shared" si="1"/>
        <v>178740</v>
      </c>
      <c r="F36" s="367">
        <f t="shared" si="2"/>
        <v>66200</v>
      </c>
      <c r="G36" s="350"/>
      <c r="H36" s="350"/>
      <c r="I36" s="350"/>
      <c r="J36" s="368" t="s">
        <v>539</v>
      </c>
      <c r="K36" s="368">
        <v>58.5</v>
      </c>
      <c r="L36" s="392" t="s">
        <v>601</v>
      </c>
      <c r="M36" s="392">
        <f>SUM(M32:M35)</f>
        <v>61574819.619983763</v>
      </c>
    </row>
    <row r="37" spans="1:16" x14ac:dyDescent="0.3">
      <c r="A37" s="364" t="s">
        <v>368</v>
      </c>
      <c r="B37" s="364" t="s">
        <v>369</v>
      </c>
      <c r="C37" s="365">
        <v>6878</v>
      </c>
      <c r="D37" s="366">
        <f t="shared" si="0"/>
        <v>8411794</v>
      </c>
      <c r="E37" s="367">
        <f t="shared" si="1"/>
        <v>1857060</v>
      </c>
      <c r="F37" s="367">
        <f t="shared" si="2"/>
        <v>687800</v>
      </c>
      <c r="G37" s="350"/>
      <c r="H37" s="350"/>
      <c r="I37" s="350"/>
      <c r="J37" s="368"/>
      <c r="K37" s="368">
        <f>K36+K35</f>
        <v>217.5</v>
      </c>
      <c r="L37" s="357" t="s">
        <v>538</v>
      </c>
      <c r="M37" s="368"/>
    </row>
    <row r="38" spans="1:16" x14ac:dyDescent="0.3">
      <c r="A38" s="364" t="s">
        <v>370</v>
      </c>
      <c r="B38" s="364" t="s">
        <v>371</v>
      </c>
      <c r="C38" s="365">
        <v>925</v>
      </c>
      <c r="D38" s="366">
        <f t="shared" si="0"/>
        <v>1131275</v>
      </c>
      <c r="E38" s="367">
        <f t="shared" si="1"/>
        <v>249750</v>
      </c>
      <c r="F38" s="367">
        <f t="shared" si="2"/>
        <v>92500</v>
      </c>
      <c r="G38" s="350"/>
      <c r="H38" s="350"/>
      <c r="I38" s="350"/>
      <c r="J38" s="350"/>
      <c r="K38" s="350"/>
      <c r="L38" s="368" t="s">
        <v>598</v>
      </c>
      <c r="M38" s="357">
        <f>D41-M33</f>
        <v>73133111.806451619</v>
      </c>
    </row>
    <row r="39" spans="1:16" x14ac:dyDescent="0.3">
      <c r="A39" s="364" t="s">
        <v>372</v>
      </c>
      <c r="B39" s="364" t="s">
        <v>373</v>
      </c>
      <c r="C39" s="365">
        <v>453</v>
      </c>
      <c r="D39" s="366">
        <f t="shared" si="0"/>
        <v>554019</v>
      </c>
      <c r="E39" s="367">
        <f t="shared" si="1"/>
        <v>122310</v>
      </c>
      <c r="F39" s="367">
        <f t="shared" si="2"/>
        <v>45300</v>
      </c>
      <c r="G39" s="350"/>
      <c r="H39" s="350"/>
      <c r="I39" s="350"/>
      <c r="J39" s="350"/>
      <c r="K39" s="350"/>
      <c r="L39" s="368" t="s">
        <v>599</v>
      </c>
      <c r="M39" s="357">
        <f>D74-M34</f>
        <v>26624632.728224248</v>
      </c>
    </row>
    <row r="40" spans="1:16" x14ac:dyDescent="0.3">
      <c r="A40" s="350"/>
      <c r="B40" s="350"/>
      <c r="C40" s="370">
        <f>SUM(C13:C39)</f>
        <v>84261</v>
      </c>
      <c r="D40" s="371"/>
      <c r="E40" s="372"/>
      <c r="F40" s="373"/>
      <c r="G40" s="350"/>
      <c r="H40" s="350"/>
      <c r="I40" s="350"/>
      <c r="J40" s="350"/>
      <c r="K40" s="350"/>
      <c r="L40" s="368" t="s">
        <v>600</v>
      </c>
      <c r="M40" s="357">
        <f>I74/201.5*143</f>
        <v>30161347.869728889</v>
      </c>
    </row>
    <row r="41" spans="1:16" ht="15.75" customHeight="1" x14ac:dyDescent="0.3">
      <c r="A41" s="350"/>
      <c r="B41" s="350"/>
      <c r="C41" s="371" t="s">
        <v>38</v>
      </c>
      <c r="D41" s="374">
        <f>SUM(D13:D39)</f>
        <v>103051203</v>
      </c>
      <c r="E41" s="375">
        <f>SUM(E13:E39)</f>
        <v>22750470</v>
      </c>
      <c r="F41" s="374">
        <f>SUM(F13:F40)</f>
        <v>8426100</v>
      </c>
      <c r="G41" s="350"/>
      <c r="H41" s="350"/>
      <c r="I41" s="350"/>
      <c r="J41" s="350"/>
      <c r="K41" s="350"/>
      <c r="L41" s="393" t="s">
        <v>601</v>
      </c>
      <c r="M41" s="392">
        <f>SUM(M38:M40)</f>
        <v>129919092.40440476</v>
      </c>
    </row>
    <row r="42" spans="1:16" x14ac:dyDescent="0.3">
      <c r="A42" s="350"/>
      <c r="B42" s="350"/>
      <c r="C42" s="350"/>
      <c r="D42" s="350"/>
      <c r="E42" s="350"/>
      <c r="F42" s="352"/>
      <c r="G42" s="350"/>
      <c r="H42" s="350"/>
      <c r="I42" s="350"/>
      <c r="J42" s="350"/>
      <c r="K42" s="350"/>
      <c r="L42" s="350"/>
      <c r="M42" s="350"/>
    </row>
    <row r="43" spans="1:16" x14ac:dyDescent="0.3">
      <c r="A43" s="350"/>
      <c r="B43" s="350"/>
      <c r="C43" s="350"/>
      <c r="D43" s="350"/>
      <c r="E43" s="372"/>
      <c r="F43" s="350"/>
      <c r="G43" s="350"/>
      <c r="H43" s="350"/>
      <c r="I43" s="350"/>
      <c r="J43" s="350"/>
      <c r="K43" s="350"/>
      <c r="L43" s="350"/>
      <c r="M43" s="352"/>
    </row>
    <row r="44" spans="1:16" ht="114" customHeight="1" x14ac:dyDescent="0.3">
      <c r="A44" s="350"/>
      <c r="B44" s="350"/>
      <c r="C44" s="350"/>
      <c r="D44" s="921" t="s">
        <v>547</v>
      </c>
      <c r="E44" s="836" t="s">
        <v>374</v>
      </c>
      <c r="F44" s="922" t="s">
        <v>375</v>
      </c>
      <c r="G44" s="923" t="s">
        <v>602</v>
      </c>
      <c r="H44" s="924" t="s">
        <v>540</v>
      </c>
      <c r="I44" s="396" t="s">
        <v>604</v>
      </c>
      <c r="J44" s="399" t="s">
        <v>605</v>
      </c>
      <c r="K44" s="350"/>
      <c r="L44" s="350"/>
      <c r="M44" s="352"/>
    </row>
    <row r="45" spans="1:16" ht="54" customHeight="1" x14ac:dyDescent="0.3">
      <c r="A45" s="361" t="s">
        <v>181</v>
      </c>
      <c r="B45" s="361" t="s">
        <v>340</v>
      </c>
      <c r="C45" s="376" t="s">
        <v>596</v>
      </c>
      <c r="D45" s="921"/>
      <c r="E45" s="837"/>
      <c r="F45" s="922"/>
      <c r="G45" s="923"/>
      <c r="H45" s="924"/>
      <c r="I45" s="395">
        <v>42500081</v>
      </c>
      <c r="J45" s="400" t="s">
        <v>606</v>
      </c>
      <c r="K45" s="350"/>
      <c r="L45" s="350"/>
      <c r="M45" s="357">
        <f>M43+M44</f>
        <v>0</v>
      </c>
      <c r="N45" s="394"/>
      <c r="O45" s="394"/>
      <c r="P45" s="394"/>
    </row>
    <row r="46" spans="1:16" x14ac:dyDescent="0.3">
      <c r="A46" s="364" t="s">
        <v>342</v>
      </c>
      <c r="B46" s="364" t="s">
        <v>343</v>
      </c>
      <c r="C46" s="365">
        <v>31954</v>
      </c>
      <c r="D46" s="397">
        <f>SUM(37516528/$C$40*C46)-3562</f>
        <v>14223697.772753706</v>
      </c>
      <c r="E46" s="367">
        <f>100*C46</f>
        <v>3195400</v>
      </c>
      <c r="F46" s="378">
        <f>SUM(D13:F13,D46:E46)</f>
        <v>68321819.772753716</v>
      </c>
      <c r="G46" s="379">
        <v>68841896.064947307</v>
      </c>
      <c r="H46" s="367">
        <f>F46-G46</f>
        <v>-520076.29219359159</v>
      </c>
      <c r="I46" s="377">
        <f>SUM($I$45/$C$40*C46)-34507+949+17995+7247+4281</f>
        <v>16113119.891040932</v>
      </c>
      <c r="J46" s="401">
        <f>F46+I46</f>
        <v>84434939.663794652</v>
      </c>
      <c r="K46" s="370"/>
      <c r="L46" s="357">
        <f>F46+I46</f>
        <v>84434939.663794652</v>
      </c>
      <c r="M46" s="368"/>
      <c r="N46" s="394"/>
      <c r="O46" s="394"/>
      <c r="P46" s="394"/>
    </row>
    <row r="47" spans="1:16" x14ac:dyDescent="0.3">
      <c r="A47" s="364" t="s">
        <v>0</v>
      </c>
      <c r="B47" s="364" t="s">
        <v>344</v>
      </c>
      <c r="C47" s="365">
        <v>2225</v>
      </c>
      <c r="D47" s="397">
        <f t="shared" ref="D47:D72" si="3">SUM(37516528/$C$40*C47)</f>
        <v>990663.23447383719</v>
      </c>
      <c r="E47" s="367">
        <f t="shared" ref="E47:E72" si="4">100*C47</f>
        <v>222500</v>
      </c>
      <c r="F47" s="378">
        <f t="shared" ref="F47:F72" si="5">SUM(D14:F14,D47:E47)</f>
        <v>4757588.2344738375</v>
      </c>
      <c r="G47" s="379">
        <v>4617574.7811459461</v>
      </c>
      <c r="H47" s="367">
        <f t="shared" ref="H47:H74" si="6">F47-G47</f>
        <v>140013.45332789142</v>
      </c>
      <c r="I47" s="377">
        <f t="shared" ref="I47:I72" si="7">SUM($I$45/$C$40*C47)</f>
        <v>1122259.1735797108</v>
      </c>
      <c r="J47" s="401">
        <f t="shared" ref="J47:J72" si="8">F47+I47</f>
        <v>5879847.4080535481</v>
      </c>
      <c r="K47" s="350"/>
      <c r="L47" s="357">
        <f>SUM(J47:J72)</f>
        <v>138236342.36059389</v>
      </c>
      <c r="M47" s="368" t="s">
        <v>603</v>
      </c>
      <c r="N47" s="394"/>
      <c r="O47" s="394"/>
      <c r="P47" s="394"/>
    </row>
    <row r="48" spans="1:16" x14ac:dyDescent="0.3">
      <c r="A48" s="364" t="s">
        <v>2</v>
      </c>
      <c r="B48" s="364" t="s">
        <v>345</v>
      </c>
      <c r="C48" s="365">
        <v>1577</v>
      </c>
      <c r="D48" s="397">
        <f t="shared" si="3"/>
        <v>702146.48124280514</v>
      </c>
      <c r="E48" s="367">
        <f t="shared" si="4"/>
        <v>157700</v>
      </c>
      <c r="F48" s="378">
        <f t="shared" si="5"/>
        <v>3372007.4812428053</v>
      </c>
      <c r="G48" s="379">
        <v>3418760.7443162156</v>
      </c>
      <c r="H48" s="367">
        <f t="shared" si="6"/>
        <v>-46753.263073410373</v>
      </c>
      <c r="I48" s="377">
        <f t="shared" si="7"/>
        <v>795416.95134166465</v>
      </c>
      <c r="J48" s="401">
        <f t="shared" si="8"/>
        <v>4167424.4325844701</v>
      </c>
      <c r="K48" s="350"/>
      <c r="L48" s="350"/>
      <c r="M48" s="357">
        <f>F74+I74-M36-M41</f>
        <v>31177369.99999997</v>
      </c>
      <c r="N48" s="394"/>
      <c r="O48" s="394"/>
      <c r="P48" s="394"/>
    </row>
    <row r="49" spans="1:13" x14ac:dyDescent="0.3">
      <c r="A49" s="364" t="s">
        <v>234</v>
      </c>
      <c r="B49" s="364" t="s">
        <v>346</v>
      </c>
      <c r="C49" s="365">
        <v>2307</v>
      </c>
      <c r="D49" s="397">
        <f t="shared" si="3"/>
        <v>1027173.0705308506</v>
      </c>
      <c r="E49" s="367">
        <f t="shared" si="4"/>
        <v>230700</v>
      </c>
      <c r="F49" s="378">
        <f t="shared" si="5"/>
        <v>4932924.0705308504</v>
      </c>
      <c r="G49" s="379">
        <v>4942967.1625711592</v>
      </c>
      <c r="H49" s="367">
        <f t="shared" si="6"/>
        <v>-10043.092040308751</v>
      </c>
      <c r="I49" s="377">
        <f t="shared" si="7"/>
        <v>1163618.8375048956</v>
      </c>
      <c r="J49" s="401">
        <f t="shared" si="8"/>
        <v>6096542.9080357458</v>
      </c>
      <c r="K49" s="350"/>
      <c r="L49" s="350"/>
      <c r="M49" s="350"/>
    </row>
    <row r="50" spans="1:13" x14ac:dyDescent="0.3">
      <c r="A50" s="364" t="s">
        <v>3</v>
      </c>
      <c r="B50" s="364" t="s">
        <v>347</v>
      </c>
      <c r="C50" s="365">
        <v>278</v>
      </c>
      <c r="D50" s="397">
        <f t="shared" si="3"/>
        <v>123777.24907133786</v>
      </c>
      <c r="E50" s="367">
        <f t="shared" si="4"/>
        <v>27800</v>
      </c>
      <c r="F50" s="378">
        <f t="shared" si="5"/>
        <v>594431.24907133786</v>
      </c>
      <c r="G50" s="379">
        <v>590844.06100893894</v>
      </c>
      <c r="H50" s="367">
        <f t="shared" si="6"/>
        <v>3587.1880623989273</v>
      </c>
      <c r="I50" s="377">
        <f t="shared" si="7"/>
        <v>140219.34842928519</v>
      </c>
      <c r="J50" s="401">
        <f t="shared" si="8"/>
        <v>734650.59750062309</v>
      </c>
      <c r="K50" s="350"/>
      <c r="L50" s="350"/>
      <c r="M50" s="350"/>
    </row>
    <row r="51" spans="1:13" x14ac:dyDescent="0.3">
      <c r="A51" s="364" t="s">
        <v>4</v>
      </c>
      <c r="B51" s="364" t="s">
        <v>348</v>
      </c>
      <c r="C51" s="365">
        <v>1900</v>
      </c>
      <c r="D51" s="397">
        <f t="shared" si="3"/>
        <v>845959.61595518689</v>
      </c>
      <c r="E51" s="367">
        <f t="shared" si="4"/>
        <v>190000</v>
      </c>
      <c r="F51" s="378">
        <f t="shared" si="5"/>
        <v>4062659.615955187</v>
      </c>
      <c r="G51" s="379">
        <v>4016027.0233795992</v>
      </c>
      <c r="H51" s="367">
        <f t="shared" si="6"/>
        <v>46632.592575587798</v>
      </c>
      <c r="I51" s="377">
        <f t="shared" si="7"/>
        <v>958333.67631525861</v>
      </c>
      <c r="J51" s="401">
        <f t="shared" si="8"/>
        <v>5020993.2922704453</v>
      </c>
      <c r="K51" s="350"/>
      <c r="L51" s="350"/>
      <c r="M51" s="350"/>
    </row>
    <row r="52" spans="1:13" x14ac:dyDescent="0.3">
      <c r="A52" s="381" t="s">
        <v>6</v>
      </c>
      <c r="B52" s="381" t="s">
        <v>349</v>
      </c>
      <c r="C52" s="365">
        <v>1663</v>
      </c>
      <c r="D52" s="398">
        <f t="shared" si="3"/>
        <v>740437.28491235559</v>
      </c>
      <c r="E52" s="382">
        <f t="shared" si="4"/>
        <v>166300</v>
      </c>
      <c r="F52" s="383">
        <f t="shared" si="5"/>
        <v>3555896.2849123557</v>
      </c>
      <c r="G52" s="384">
        <v>3482982.9248606651</v>
      </c>
      <c r="H52" s="382">
        <f t="shared" si="6"/>
        <v>72913.360051690601</v>
      </c>
      <c r="I52" s="377">
        <f t="shared" si="7"/>
        <v>838794.15984856582</v>
      </c>
      <c r="J52" s="401">
        <f t="shared" si="8"/>
        <v>4394690.4447609214</v>
      </c>
      <c r="K52" s="350"/>
      <c r="L52" s="350"/>
      <c r="M52" s="350"/>
    </row>
    <row r="53" spans="1:13" x14ac:dyDescent="0.3">
      <c r="A53" s="364" t="s">
        <v>8</v>
      </c>
      <c r="B53" s="364" t="s">
        <v>350</v>
      </c>
      <c r="C53" s="365">
        <v>723</v>
      </c>
      <c r="D53" s="397">
        <f t="shared" si="3"/>
        <v>321909.89596610534</v>
      </c>
      <c r="E53" s="367">
        <f t="shared" si="4"/>
        <v>72300</v>
      </c>
      <c r="F53" s="378">
        <f t="shared" si="5"/>
        <v>1545948.8959661054</v>
      </c>
      <c r="G53" s="379">
        <v>1554176.7691756871</v>
      </c>
      <c r="H53" s="367">
        <f t="shared" si="6"/>
        <v>-8227.8732095817104</v>
      </c>
      <c r="I53" s="377">
        <f t="shared" si="7"/>
        <v>364671.18314522732</v>
      </c>
      <c r="J53" s="401">
        <f t="shared" si="8"/>
        <v>1910620.0791113328</v>
      </c>
      <c r="K53" s="350"/>
      <c r="L53" s="350"/>
      <c r="M53" s="350"/>
    </row>
    <row r="54" spans="1:13" x14ac:dyDescent="0.3">
      <c r="A54" s="364" t="s">
        <v>351</v>
      </c>
      <c r="B54" s="364" t="s">
        <v>352</v>
      </c>
      <c r="C54" s="365">
        <v>3341</v>
      </c>
      <c r="D54" s="397">
        <f t="shared" si="3"/>
        <v>1487553.1983717259</v>
      </c>
      <c r="E54" s="367">
        <f t="shared" si="4"/>
        <v>334100</v>
      </c>
      <c r="F54" s="378">
        <f t="shared" si="5"/>
        <v>7143866.1983717261</v>
      </c>
      <c r="G54" s="379">
        <v>7032328.7696172623</v>
      </c>
      <c r="H54" s="367">
        <f t="shared" si="6"/>
        <v>111537.42875446379</v>
      </c>
      <c r="I54" s="377">
        <f t="shared" si="7"/>
        <v>1685154.1118785678</v>
      </c>
      <c r="J54" s="401">
        <f t="shared" si="8"/>
        <v>8829020.3102502935</v>
      </c>
      <c r="K54" s="350"/>
      <c r="L54" s="350"/>
      <c r="M54" s="350"/>
    </row>
    <row r="55" spans="1:13" x14ac:dyDescent="0.3">
      <c r="A55" s="364" t="s">
        <v>9</v>
      </c>
      <c r="B55" s="364" t="s">
        <v>353</v>
      </c>
      <c r="C55" s="365">
        <v>4036</v>
      </c>
      <c r="D55" s="397">
        <f t="shared" si="3"/>
        <v>1796996.3210500707</v>
      </c>
      <c r="E55" s="367">
        <f t="shared" si="4"/>
        <v>403600</v>
      </c>
      <c r="F55" s="378">
        <f t="shared" si="5"/>
        <v>8629944.3210500702</v>
      </c>
      <c r="G55" s="379">
        <v>8577942.5813870225</v>
      </c>
      <c r="H55" s="367">
        <f t="shared" si="6"/>
        <v>52001.739663047716</v>
      </c>
      <c r="I55" s="377">
        <f t="shared" si="7"/>
        <v>2035702.4829517808</v>
      </c>
      <c r="J55" s="401">
        <f t="shared" si="8"/>
        <v>10665646.804001851</v>
      </c>
      <c r="K55" s="350"/>
      <c r="L55" s="350"/>
      <c r="M55" s="350"/>
    </row>
    <row r="56" spans="1:13" x14ac:dyDescent="0.3">
      <c r="A56" s="364" t="s">
        <v>10</v>
      </c>
      <c r="B56" s="364" t="s">
        <v>354</v>
      </c>
      <c r="C56" s="365">
        <v>1332</v>
      </c>
      <c r="D56" s="397">
        <f t="shared" si="3"/>
        <v>593062.21497489943</v>
      </c>
      <c r="E56" s="367">
        <f t="shared" si="4"/>
        <v>133200</v>
      </c>
      <c r="F56" s="378">
        <f t="shared" si="5"/>
        <v>2848138.2149748993</v>
      </c>
      <c r="G56" s="379">
        <v>2845042.5981191299</v>
      </c>
      <c r="H56" s="367">
        <f t="shared" si="6"/>
        <v>3095.6168557694182</v>
      </c>
      <c r="I56" s="377">
        <f t="shared" si="7"/>
        <v>671842.34571153915</v>
      </c>
      <c r="J56" s="401">
        <f t="shared" si="8"/>
        <v>3519980.5606864383</v>
      </c>
      <c r="K56" s="350"/>
      <c r="L56" s="350"/>
      <c r="M56" s="350"/>
    </row>
    <row r="57" spans="1:13" x14ac:dyDescent="0.3">
      <c r="A57" s="364" t="s">
        <v>12</v>
      </c>
      <c r="B57" s="364" t="s">
        <v>355</v>
      </c>
      <c r="C57" s="365">
        <v>6133</v>
      </c>
      <c r="D57" s="397">
        <f t="shared" si="3"/>
        <v>2730668.5919227162</v>
      </c>
      <c r="E57" s="367">
        <f t="shared" si="4"/>
        <v>613300</v>
      </c>
      <c r="F57" s="378">
        <f t="shared" si="5"/>
        <v>13113837.591922715</v>
      </c>
      <c r="G57" s="379">
        <v>13112028.527825184</v>
      </c>
      <c r="H57" s="367">
        <f t="shared" si="6"/>
        <v>1809.0640975311399</v>
      </c>
      <c r="I57" s="377">
        <f t="shared" si="7"/>
        <v>3093400.2299165688</v>
      </c>
      <c r="J57" s="401">
        <f t="shared" si="8"/>
        <v>16207237.821839284</v>
      </c>
      <c r="K57" s="350"/>
      <c r="L57" s="350"/>
      <c r="M57" s="350"/>
    </row>
    <row r="58" spans="1:13" x14ac:dyDescent="0.3">
      <c r="A58" s="364" t="s">
        <v>13</v>
      </c>
      <c r="B58" s="364" t="s">
        <v>356</v>
      </c>
      <c r="C58" s="365">
        <v>570</v>
      </c>
      <c r="D58" s="397">
        <f t="shared" si="3"/>
        <v>253787.88478655607</v>
      </c>
      <c r="E58" s="367">
        <f t="shared" si="4"/>
        <v>57000</v>
      </c>
      <c r="F58" s="378">
        <f t="shared" si="5"/>
        <v>1218797.884786556</v>
      </c>
      <c r="G58" s="379">
        <v>1230925.1271019559</v>
      </c>
      <c r="H58" s="367">
        <f t="shared" si="6"/>
        <v>-12127.242315399926</v>
      </c>
      <c r="I58" s="377">
        <f t="shared" si="7"/>
        <v>287500.10289457755</v>
      </c>
      <c r="J58" s="401">
        <f t="shared" si="8"/>
        <v>1506297.9876811337</v>
      </c>
      <c r="K58" s="350"/>
      <c r="L58" s="350"/>
      <c r="M58" s="350"/>
    </row>
    <row r="59" spans="1:13" x14ac:dyDescent="0.3">
      <c r="A59" s="364" t="s">
        <v>14</v>
      </c>
      <c r="B59" s="364" t="s">
        <v>357</v>
      </c>
      <c r="C59" s="365">
        <v>2378</v>
      </c>
      <c r="D59" s="397">
        <f t="shared" si="3"/>
        <v>1058785.2456533865</v>
      </c>
      <c r="E59" s="367">
        <f t="shared" si="4"/>
        <v>237800</v>
      </c>
      <c r="F59" s="378">
        <f t="shared" si="5"/>
        <v>5084739.2456533862</v>
      </c>
      <c r="G59" s="379">
        <v>5015752.3005215358</v>
      </c>
      <c r="H59" s="367">
        <f t="shared" si="6"/>
        <v>68986.945131850429</v>
      </c>
      <c r="I59" s="377">
        <f t="shared" si="7"/>
        <v>1199430.2538303605</v>
      </c>
      <c r="J59" s="401">
        <f t="shared" si="8"/>
        <v>6284169.4994837465</v>
      </c>
      <c r="K59" s="350"/>
      <c r="L59" s="350"/>
      <c r="M59" s="350"/>
    </row>
    <row r="60" spans="1:13" x14ac:dyDescent="0.3">
      <c r="A60" s="364" t="s">
        <v>102</v>
      </c>
      <c r="B60" s="364" t="s">
        <v>358</v>
      </c>
      <c r="C60" s="365">
        <v>385</v>
      </c>
      <c r="D60" s="397">
        <f t="shared" si="3"/>
        <v>171418.13270670892</v>
      </c>
      <c r="E60" s="367">
        <f t="shared" si="4"/>
        <v>38500</v>
      </c>
      <c r="F60" s="378">
        <f t="shared" si="5"/>
        <v>823223.13270670897</v>
      </c>
      <c r="G60" s="379">
        <v>830606.86837488506</v>
      </c>
      <c r="H60" s="367">
        <f t="shared" si="6"/>
        <v>-7383.7356681760866</v>
      </c>
      <c r="I60" s="377">
        <f t="shared" si="7"/>
        <v>194188.66599019713</v>
      </c>
      <c r="J60" s="401">
        <f t="shared" si="8"/>
        <v>1017411.7986969061</v>
      </c>
      <c r="K60" s="350"/>
      <c r="L60" s="350"/>
      <c r="M60" s="350"/>
    </row>
    <row r="61" spans="1:13" x14ac:dyDescent="0.3">
      <c r="A61" s="381" t="s">
        <v>103</v>
      </c>
      <c r="B61" s="381" t="s">
        <v>359</v>
      </c>
      <c r="C61" s="365">
        <v>2429</v>
      </c>
      <c r="D61" s="398">
        <f t="shared" si="3"/>
        <v>1081492.5827132363</v>
      </c>
      <c r="E61" s="382">
        <f t="shared" si="4"/>
        <v>242900</v>
      </c>
      <c r="F61" s="383">
        <f t="shared" si="5"/>
        <v>5193789.5827132361</v>
      </c>
      <c r="G61" s="384">
        <v>4985781.9496007925</v>
      </c>
      <c r="H61" s="382">
        <f t="shared" si="6"/>
        <v>208007.63311244361</v>
      </c>
      <c r="I61" s="377">
        <f t="shared" si="7"/>
        <v>1225153.9472472437</v>
      </c>
      <c r="J61" s="401">
        <f t="shared" si="8"/>
        <v>6418943.5299604796</v>
      </c>
      <c r="K61" s="350"/>
      <c r="L61" s="350"/>
      <c r="M61" s="350"/>
    </row>
    <row r="62" spans="1:13" x14ac:dyDescent="0.3">
      <c r="A62" s="364" t="s">
        <v>105</v>
      </c>
      <c r="B62" s="364" t="s">
        <v>360</v>
      </c>
      <c r="C62" s="365">
        <v>3346</v>
      </c>
      <c r="D62" s="397">
        <f t="shared" si="3"/>
        <v>1489779.4078873976</v>
      </c>
      <c r="E62" s="367">
        <f t="shared" si="4"/>
        <v>334600</v>
      </c>
      <c r="F62" s="378">
        <f t="shared" si="5"/>
        <v>7154557.4078873973</v>
      </c>
      <c r="G62" s="379">
        <v>7173617.5668150522</v>
      </c>
      <c r="H62" s="367">
        <f t="shared" si="6"/>
        <v>-19060.158927654848</v>
      </c>
      <c r="I62" s="377">
        <f t="shared" si="7"/>
        <v>1687676.0426057132</v>
      </c>
      <c r="J62" s="401">
        <f t="shared" si="8"/>
        <v>8842233.4504931103</v>
      </c>
      <c r="K62" s="350"/>
      <c r="L62" s="350"/>
      <c r="M62" s="350"/>
    </row>
    <row r="63" spans="1:13" x14ac:dyDescent="0.3">
      <c r="A63" s="364" t="s">
        <v>106</v>
      </c>
      <c r="B63" s="364" t="s">
        <v>361</v>
      </c>
      <c r="C63" s="365">
        <v>866</v>
      </c>
      <c r="D63" s="397">
        <f t="shared" si="3"/>
        <v>385579.48811431148</v>
      </c>
      <c r="E63" s="367">
        <f t="shared" si="4"/>
        <v>86600</v>
      </c>
      <c r="F63" s="378">
        <f t="shared" si="5"/>
        <v>1851717.4881143114</v>
      </c>
      <c r="G63" s="379">
        <v>1830332.1455168216</v>
      </c>
      <c r="H63" s="367">
        <f t="shared" si="6"/>
        <v>21385.342597489711</v>
      </c>
      <c r="I63" s="377">
        <f t="shared" si="7"/>
        <v>436798.40194158629</v>
      </c>
      <c r="J63" s="401">
        <f t="shared" si="8"/>
        <v>2288515.8900558976</v>
      </c>
      <c r="K63" s="350"/>
      <c r="L63" s="350"/>
      <c r="M63" s="350"/>
    </row>
    <row r="64" spans="1:13" x14ac:dyDescent="0.3">
      <c r="A64" s="364" t="s">
        <v>107</v>
      </c>
      <c r="B64" s="364" t="s">
        <v>362</v>
      </c>
      <c r="C64" s="365">
        <v>2209</v>
      </c>
      <c r="D64" s="397">
        <f t="shared" si="3"/>
        <v>983539.36402368825</v>
      </c>
      <c r="E64" s="367">
        <f t="shared" si="4"/>
        <v>220900</v>
      </c>
      <c r="F64" s="378">
        <f t="shared" si="5"/>
        <v>4723376.3640236882</v>
      </c>
      <c r="G64" s="379">
        <v>4668952.5255815061</v>
      </c>
      <c r="H64" s="367">
        <f t="shared" si="6"/>
        <v>54423.838442182168</v>
      </c>
      <c r="I64" s="377">
        <f t="shared" si="7"/>
        <v>1114188.9952528453</v>
      </c>
      <c r="J64" s="401">
        <f t="shared" si="8"/>
        <v>5837565.3592765331</v>
      </c>
      <c r="K64" s="350"/>
      <c r="L64" s="350"/>
      <c r="M64" s="350"/>
    </row>
    <row r="65" spans="1:13" x14ac:dyDescent="0.3">
      <c r="A65" s="364" t="s">
        <v>108</v>
      </c>
      <c r="B65" s="364" t="s">
        <v>363</v>
      </c>
      <c r="C65" s="365">
        <v>660</v>
      </c>
      <c r="D65" s="397">
        <f t="shared" si="3"/>
        <v>293859.65606864385</v>
      </c>
      <c r="E65" s="367">
        <f t="shared" si="4"/>
        <v>66000</v>
      </c>
      <c r="F65" s="378">
        <f t="shared" si="5"/>
        <v>1411239.6560686438</v>
      </c>
      <c r="G65" s="379">
        <v>1412887.9719778975</v>
      </c>
      <c r="H65" s="367">
        <f t="shared" si="6"/>
        <v>-1648.3159092536662</v>
      </c>
      <c r="I65" s="377">
        <f t="shared" si="7"/>
        <v>332894.85598319507</v>
      </c>
      <c r="J65" s="401">
        <f t="shared" si="8"/>
        <v>1744134.5120518389</v>
      </c>
      <c r="K65" s="350"/>
      <c r="L65" s="350"/>
      <c r="M65" s="350"/>
    </row>
    <row r="66" spans="1:13" x14ac:dyDescent="0.3">
      <c r="A66" s="364" t="s">
        <v>109</v>
      </c>
      <c r="B66" s="364" t="s">
        <v>364</v>
      </c>
      <c r="C66" s="365">
        <v>2714</v>
      </c>
      <c r="D66" s="397">
        <f t="shared" si="3"/>
        <v>1208386.5251065143</v>
      </c>
      <c r="E66" s="367">
        <f t="shared" si="4"/>
        <v>271400</v>
      </c>
      <c r="F66" s="378">
        <f t="shared" si="5"/>
        <v>5803188.5251065139</v>
      </c>
      <c r="G66" s="379">
        <v>5628003.755045291</v>
      </c>
      <c r="H66" s="367">
        <f t="shared" si="6"/>
        <v>175184.77006122284</v>
      </c>
      <c r="I66" s="377">
        <f t="shared" si="7"/>
        <v>1368903.9986945326</v>
      </c>
      <c r="J66" s="401">
        <f t="shared" si="8"/>
        <v>7172092.5238010464</v>
      </c>
      <c r="K66" s="350"/>
      <c r="L66" s="350"/>
      <c r="M66" s="350"/>
    </row>
    <row r="67" spans="1:13" x14ac:dyDescent="0.3">
      <c r="A67" s="381" t="s">
        <v>111</v>
      </c>
      <c r="B67" s="381" t="s">
        <v>365</v>
      </c>
      <c r="C67" s="365">
        <v>1891</v>
      </c>
      <c r="D67" s="398">
        <f t="shared" si="3"/>
        <v>841952.43882697809</v>
      </c>
      <c r="E67" s="382">
        <f t="shared" si="4"/>
        <v>189100</v>
      </c>
      <c r="F67" s="383">
        <f t="shared" si="5"/>
        <v>4043415.4388269782</v>
      </c>
      <c r="G67" s="384">
        <v>3973212.2363499659</v>
      </c>
      <c r="H67" s="382">
        <f t="shared" si="6"/>
        <v>70203.202477012295</v>
      </c>
      <c r="I67" s="377">
        <f t="shared" si="7"/>
        <v>953794.20100639679</v>
      </c>
      <c r="J67" s="401">
        <f t="shared" si="8"/>
        <v>4997209.6398333749</v>
      </c>
      <c r="K67" s="350"/>
      <c r="L67" s="350"/>
      <c r="M67" s="350"/>
    </row>
    <row r="68" spans="1:13" x14ac:dyDescent="0.3">
      <c r="A68" s="381" t="s">
        <v>112</v>
      </c>
      <c r="B68" s="381" t="s">
        <v>366</v>
      </c>
      <c r="C68" s="365">
        <v>426</v>
      </c>
      <c r="D68" s="398">
        <f t="shared" si="3"/>
        <v>189673.05073521557</v>
      </c>
      <c r="E68" s="382">
        <f t="shared" si="4"/>
        <v>42600</v>
      </c>
      <c r="F68" s="383">
        <f t="shared" si="5"/>
        <v>910891.05073521554</v>
      </c>
      <c r="G68" s="384">
        <v>929080.87854304165</v>
      </c>
      <c r="H68" s="382">
        <f t="shared" si="6"/>
        <v>-18189.827807826106</v>
      </c>
      <c r="I68" s="377">
        <f t="shared" si="7"/>
        <v>214868.49795278956</v>
      </c>
      <c r="J68" s="401">
        <f t="shared" si="8"/>
        <v>1125759.5486880052</v>
      </c>
      <c r="K68" s="350"/>
      <c r="L68" s="350"/>
      <c r="M68" s="350"/>
    </row>
    <row r="69" spans="1:13" x14ac:dyDescent="0.3">
      <c r="A69" s="364" t="s">
        <v>235</v>
      </c>
      <c r="B69" s="364" t="s">
        <v>367</v>
      </c>
      <c r="C69" s="365">
        <v>662</v>
      </c>
      <c r="D69" s="397">
        <f t="shared" si="3"/>
        <v>294750.13987491245</v>
      </c>
      <c r="E69" s="367">
        <f t="shared" si="4"/>
        <v>66200</v>
      </c>
      <c r="F69" s="378">
        <f t="shared" si="5"/>
        <v>1415516.1398749123</v>
      </c>
      <c r="G69" s="379">
        <v>1389339.8391115991</v>
      </c>
      <c r="H69" s="367">
        <f t="shared" si="6"/>
        <v>26176.300763313193</v>
      </c>
      <c r="I69" s="377">
        <f t="shared" si="7"/>
        <v>333903.62827405322</v>
      </c>
      <c r="J69" s="401">
        <f t="shared" si="8"/>
        <v>1749419.7681489657</v>
      </c>
      <c r="K69" s="350"/>
      <c r="L69" s="350"/>
      <c r="M69" s="350"/>
    </row>
    <row r="70" spans="1:13" x14ac:dyDescent="0.3">
      <c r="A70" s="381" t="s">
        <v>368</v>
      </c>
      <c r="B70" s="381" t="s">
        <v>369</v>
      </c>
      <c r="C70" s="365">
        <v>6878</v>
      </c>
      <c r="D70" s="398">
        <f t="shared" si="3"/>
        <v>3062373.8097577766</v>
      </c>
      <c r="E70" s="382">
        <f t="shared" si="4"/>
        <v>687800</v>
      </c>
      <c r="F70" s="383">
        <f t="shared" si="5"/>
        <v>14706827.809757777</v>
      </c>
      <c r="G70" s="384">
        <v>14295857.389194544</v>
      </c>
      <c r="H70" s="382">
        <f t="shared" si="6"/>
        <v>410970.42056323215</v>
      </c>
      <c r="I70" s="377">
        <f t="shared" si="7"/>
        <v>3469167.9082612358</v>
      </c>
      <c r="J70" s="401">
        <f t="shared" si="8"/>
        <v>18175995.718019012</v>
      </c>
      <c r="K70" s="350"/>
      <c r="L70" s="350"/>
      <c r="M70" s="350"/>
    </row>
    <row r="71" spans="1:13" x14ac:dyDescent="0.3">
      <c r="A71" s="364" t="s">
        <v>370</v>
      </c>
      <c r="B71" s="364" t="s">
        <v>371</v>
      </c>
      <c r="C71" s="365">
        <v>925</v>
      </c>
      <c r="D71" s="397">
        <f t="shared" si="3"/>
        <v>411848.7603992357</v>
      </c>
      <c r="E71" s="367">
        <f t="shared" si="4"/>
        <v>92500</v>
      </c>
      <c r="F71" s="378">
        <f t="shared" si="5"/>
        <v>1977873.7603992356</v>
      </c>
      <c r="G71" s="379">
        <v>1990887.5968779463</v>
      </c>
      <c r="H71" s="367">
        <f t="shared" si="6"/>
        <v>-13013.83647871064</v>
      </c>
      <c r="I71" s="377">
        <f t="shared" si="7"/>
        <v>466557.18452190218</v>
      </c>
      <c r="J71" s="401">
        <f t="shared" si="8"/>
        <v>2444430.9449211378</v>
      </c>
      <c r="K71" s="350"/>
      <c r="L71" s="350"/>
      <c r="M71" s="350"/>
    </row>
    <row r="72" spans="1:13" x14ac:dyDescent="0.3">
      <c r="A72" s="364" t="s">
        <v>372</v>
      </c>
      <c r="B72" s="364" t="s">
        <v>373</v>
      </c>
      <c r="C72" s="385">
        <v>461</v>
      </c>
      <c r="D72" s="397">
        <f t="shared" si="3"/>
        <v>205256.51734491638</v>
      </c>
      <c r="E72" s="367">
        <f t="shared" si="4"/>
        <v>46100</v>
      </c>
      <c r="F72" s="378">
        <f t="shared" si="5"/>
        <v>972985.51734491636</v>
      </c>
      <c r="G72" s="379">
        <v>986880.84103304648</v>
      </c>
      <c r="H72" s="367">
        <f t="shared" si="6"/>
        <v>-13895.323688130127</v>
      </c>
      <c r="I72" s="377">
        <f t="shared" si="7"/>
        <v>232522.01304280746</v>
      </c>
      <c r="J72" s="401">
        <f t="shared" si="8"/>
        <v>1205507.5303877238</v>
      </c>
      <c r="K72" s="350"/>
      <c r="L72" s="350"/>
      <c r="M72" s="350"/>
    </row>
    <row r="73" spans="1:13" x14ac:dyDescent="0.3">
      <c r="A73" s="350"/>
      <c r="B73" s="350"/>
      <c r="C73" s="350"/>
      <c r="D73" s="369"/>
      <c r="E73" s="350"/>
      <c r="F73" s="350"/>
      <c r="G73" s="350"/>
      <c r="H73" s="352"/>
      <c r="I73" s="380"/>
      <c r="J73" s="350"/>
      <c r="K73" s="350"/>
      <c r="L73" s="350"/>
      <c r="M73" s="350"/>
    </row>
    <row r="74" spans="1:13" x14ac:dyDescent="0.3">
      <c r="A74" s="350"/>
      <c r="B74" s="350"/>
      <c r="C74" s="350"/>
      <c r="D74" s="355">
        <f>SUM(D46:D72)</f>
        <v>37516527.935225077</v>
      </c>
      <c r="E74" s="352">
        <f>SUM(E46:E72)</f>
        <v>8426900</v>
      </c>
      <c r="F74" s="352">
        <f>SUM(F46:F73)</f>
        <v>180171200.93522507</v>
      </c>
      <c r="G74" s="372">
        <f>SUM(G46:G72)</f>
        <v>179374691</v>
      </c>
      <c r="H74" s="352">
        <f t="shared" si="6"/>
        <v>796509.93522506952</v>
      </c>
      <c r="I74" s="380">
        <f>SUM(I46:I72)</f>
        <v>42500081.089163437</v>
      </c>
      <c r="J74" s="375">
        <f>SUM(F74+I74)</f>
        <v>222671282.02438849</v>
      </c>
      <c r="K74" s="350"/>
      <c r="L74" s="357">
        <f>J74-196284321</f>
        <v>26386961.024388492</v>
      </c>
      <c r="M74" s="350"/>
    </row>
    <row r="75" spans="1:13" x14ac:dyDescent="0.3">
      <c r="A75" s="350"/>
      <c r="B75" s="350"/>
      <c r="C75" s="350"/>
      <c r="D75" s="352">
        <f>D74-'[3]01 (2)'!E45-'[3]01 (2)'!E46</f>
        <v>-6.4774923026561737E-2</v>
      </c>
      <c r="E75" s="350"/>
      <c r="F75" s="352"/>
      <c r="G75" s="350"/>
      <c r="H75" s="350"/>
      <c r="I75" s="352">
        <f>I74-I45</f>
        <v>8.9163437485694885E-2</v>
      </c>
      <c r="J75" s="350"/>
      <c r="K75" s="350"/>
      <c r="L75" s="350"/>
      <c r="M75" s="350"/>
    </row>
    <row r="76" spans="1:13" x14ac:dyDescent="0.3">
      <c r="A76" s="350"/>
      <c r="B76" s="350" t="s">
        <v>541</v>
      </c>
      <c r="C76" s="350"/>
      <c r="D76" s="350"/>
      <c r="E76" s="350"/>
      <c r="F76" s="350"/>
      <c r="G76" s="350"/>
      <c r="H76" s="350"/>
      <c r="I76" s="350"/>
      <c r="J76" s="350"/>
      <c r="K76" s="350"/>
      <c r="L76" s="350"/>
      <c r="M76" s="350"/>
    </row>
    <row r="77" spans="1:13" x14ac:dyDescent="0.3">
      <c r="A77" s="350"/>
      <c r="B77" s="350" t="s">
        <v>542</v>
      </c>
      <c r="C77" s="350"/>
      <c r="D77" s="352">
        <f>G4</f>
        <v>178687977</v>
      </c>
      <c r="E77" s="350"/>
      <c r="F77" s="350"/>
      <c r="G77" s="350"/>
      <c r="H77" s="350"/>
      <c r="I77" s="350"/>
      <c r="J77" s="350"/>
      <c r="K77" s="350"/>
      <c r="L77" s="350"/>
      <c r="M77" s="350"/>
    </row>
    <row r="78" spans="1:13" x14ac:dyDescent="0.3">
      <c r="A78" s="350"/>
      <c r="B78" s="350" t="s">
        <v>608</v>
      </c>
      <c r="C78" s="350"/>
      <c r="D78" s="352">
        <f>[1]Társulás!$I$53+[1]Társulás!$I$54</f>
        <v>41949605</v>
      </c>
      <c r="E78" s="350"/>
      <c r="F78" s="350"/>
      <c r="G78" s="350"/>
      <c r="H78" s="350"/>
      <c r="I78" s="350"/>
      <c r="J78" s="350"/>
      <c r="K78" s="350"/>
      <c r="L78" s="350"/>
      <c r="M78" s="350"/>
    </row>
    <row r="79" spans="1:13" x14ac:dyDescent="0.3">
      <c r="A79" s="350"/>
      <c r="B79" s="350" t="s">
        <v>543</v>
      </c>
      <c r="C79" s="350"/>
      <c r="D79" s="354">
        <f>J46</f>
        <v>84434939.663794652</v>
      </c>
      <c r="E79" s="350" t="s">
        <v>607</v>
      </c>
      <c r="F79" s="350"/>
      <c r="G79" s="350"/>
      <c r="H79" s="350"/>
      <c r="I79" s="403">
        <f>E74-E46+E41-E13</f>
        <v>19354390</v>
      </c>
      <c r="J79" s="350"/>
      <c r="K79" s="350"/>
      <c r="L79" s="350"/>
      <c r="M79" s="350"/>
    </row>
    <row r="80" spans="1:13" x14ac:dyDescent="0.3">
      <c r="A80" s="350"/>
      <c r="B80" s="350"/>
      <c r="C80" s="350"/>
      <c r="D80" s="375">
        <f>SUM(D77:D79)</f>
        <v>305072521.66379464</v>
      </c>
      <c r="E80" s="350"/>
      <c r="F80" s="355"/>
      <c r="G80" s="350"/>
      <c r="H80" s="350"/>
      <c r="I80" s="350"/>
      <c r="J80" s="350"/>
      <c r="K80" s="350"/>
      <c r="L80" s="350"/>
      <c r="M80" s="350"/>
    </row>
    <row r="81" spans="1:13" x14ac:dyDescent="0.3">
      <c r="A81" s="350"/>
      <c r="B81" s="350"/>
      <c r="C81" s="350"/>
      <c r="D81" s="371"/>
      <c r="E81" s="386"/>
      <c r="F81" s="350"/>
      <c r="G81" s="350"/>
      <c r="H81" s="350"/>
      <c r="I81" s="350"/>
      <c r="J81" s="350"/>
      <c r="K81" s="350"/>
      <c r="L81" s="350"/>
      <c r="M81" s="350"/>
    </row>
    <row r="82" spans="1:13" x14ac:dyDescent="0.3">
      <c r="A82" s="350"/>
      <c r="B82" s="350" t="s">
        <v>544</v>
      </c>
      <c r="C82" s="350"/>
      <c r="D82" s="371"/>
      <c r="E82" s="282"/>
      <c r="F82" s="352"/>
      <c r="G82" s="350"/>
      <c r="H82" s="350"/>
      <c r="I82" s="350"/>
      <c r="J82" s="350"/>
      <c r="K82" s="350"/>
      <c r="L82" s="350"/>
      <c r="M82" s="350"/>
    </row>
    <row r="83" spans="1:13" x14ac:dyDescent="0.3">
      <c r="A83" s="350"/>
      <c r="B83" s="350"/>
      <c r="C83" s="350"/>
      <c r="D83" s="371"/>
      <c r="E83" s="282"/>
      <c r="F83" s="352"/>
      <c r="G83" s="350"/>
      <c r="H83" s="350"/>
      <c r="I83" s="350"/>
      <c r="J83" s="350"/>
      <c r="K83" s="350"/>
      <c r="L83" s="350"/>
      <c r="M83" s="350"/>
    </row>
    <row r="84" spans="1:13" x14ac:dyDescent="0.3">
      <c r="A84" s="350"/>
      <c r="B84" s="350"/>
      <c r="C84" s="350"/>
      <c r="D84" s="371"/>
      <c r="E84" s="282"/>
      <c r="F84" s="352"/>
      <c r="G84" s="350"/>
      <c r="H84" s="350"/>
      <c r="I84" s="350"/>
      <c r="J84" s="350"/>
      <c r="K84" s="350"/>
      <c r="L84" s="350"/>
      <c r="M84" s="350"/>
    </row>
    <row r="85" spans="1:13" x14ac:dyDescent="0.3">
      <c r="A85" s="350"/>
      <c r="B85" s="387">
        <f>D74+E74+E41</f>
        <v>68693897.93522507</v>
      </c>
      <c r="C85" s="350"/>
      <c r="D85" s="371"/>
      <c r="E85" s="282"/>
      <c r="F85" s="352"/>
      <c r="G85" s="350"/>
      <c r="H85" s="350"/>
      <c r="I85" s="350"/>
      <c r="J85" s="350"/>
      <c r="K85" s="350"/>
      <c r="L85" s="350"/>
      <c r="M85" s="350"/>
    </row>
    <row r="86" spans="1:13" x14ac:dyDescent="0.3">
      <c r="A86" s="350"/>
      <c r="B86" s="387">
        <f>B85-'[3]01 (2)'!I36</f>
        <v>145262917.93522507</v>
      </c>
      <c r="C86" s="350"/>
      <c r="D86" s="392">
        <f>J74-J46</f>
        <v>138236342.36059386</v>
      </c>
      <c r="E86" s="282"/>
      <c r="F86" s="352"/>
      <c r="G86" s="350"/>
      <c r="H86" s="350"/>
      <c r="I86" s="350"/>
      <c r="J86" s="350"/>
      <c r="K86" s="350"/>
      <c r="L86" s="350"/>
      <c r="M86" s="350"/>
    </row>
    <row r="87" spans="1:13" x14ac:dyDescent="0.3">
      <c r="A87" s="350"/>
      <c r="B87" s="388"/>
      <c r="C87" s="350"/>
      <c r="D87" s="371"/>
      <c r="E87" s="282"/>
      <c r="F87" s="352"/>
      <c r="G87" s="350"/>
      <c r="H87" s="350"/>
      <c r="I87" s="350"/>
      <c r="J87" s="350"/>
      <c r="K87" s="350"/>
      <c r="L87" s="350"/>
      <c r="M87" s="350"/>
    </row>
    <row r="88" spans="1:13" x14ac:dyDescent="0.3">
      <c r="A88" s="350"/>
      <c r="B88" s="350"/>
      <c r="C88" s="350"/>
      <c r="D88" s="371"/>
      <c r="E88" s="282"/>
      <c r="F88" s="352"/>
      <c r="G88" s="350"/>
      <c r="H88" s="350"/>
      <c r="I88" s="350"/>
      <c r="J88" s="350"/>
      <c r="K88" s="350"/>
      <c r="L88" s="350"/>
      <c r="M88" s="350"/>
    </row>
    <row r="89" spans="1:13" x14ac:dyDescent="0.3">
      <c r="D89" s="389"/>
      <c r="E89" s="282"/>
      <c r="F89" s="390"/>
    </row>
    <row r="90" spans="1:13" x14ac:dyDescent="0.3">
      <c r="D90" s="389"/>
      <c r="E90" s="282"/>
      <c r="F90" s="390"/>
    </row>
    <row r="91" spans="1:13" x14ac:dyDescent="0.3">
      <c r="D91" s="389"/>
      <c r="E91" s="282"/>
      <c r="F91" s="390"/>
    </row>
    <row r="92" spans="1:13" x14ac:dyDescent="0.3">
      <c r="D92" s="389"/>
      <c r="E92" s="282"/>
      <c r="F92" s="390"/>
    </row>
    <row r="93" spans="1:13" x14ac:dyDescent="0.3">
      <c r="D93" s="389"/>
      <c r="E93" s="282"/>
      <c r="F93" s="390"/>
    </row>
    <row r="94" spans="1:13" x14ac:dyDescent="0.3">
      <c r="D94" s="389"/>
      <c r="E94" s="282"/>
      <c r="F94" s="390"/>
    </row>
    <row r="95" spans="1:13" x14ac:dyDescent="0.3">
      <c r="D95" s="389"/>
      <c r="E95" s="282"/>
      <c r="F95" s="390"/>
    </row>
    <row r="96" spans="1:13" x14ac:dyDescent="0.3">
      <c r="D96" s="389"/>
      <c r="E96" s="282"/>
      <c r="F96" s="390"/>
    </row>
    <row r="97" spans="4:6" x14ac:dyDescent="0.3">
      <c r="D97" s="389"/>
      <c r="E97" s="282"/>
      <c r="F97" s="390"/>
    </row>
    <row r="98" spans="4:6" x14ac:dyDescent="0.3">
      <c r="D98" s="389"/>
      <c r="E98" s="282"/>
      <c r="F98" s="390"/>
    </row>
    <row r="99" spans="4:6" x14ac:dyDescent="0.3">
      <c r="D99" s="389"/>
      <c r="E99" s="282"/>
      <c r="F99" s="390"/>
    </row>
    <row r="100" spans="4:6" x14ac:dyDescent="0.3">
      <c r="D100" s="389"/>
      <c r="E100" s="282"/>
      <c r="F100" s="390"/>
    </row>
    <row r="101" spans="4:6" x14ac:dyDescent="0.3">
      <c r="D101" s="389"/>
      <c r="E101" s="282"/>
      <c r="F101" s="390"/>
    </row>
    <row r="102" spans="4:6" x14ac:dyDescent="0.3">
      <c r="D102" s="389"/>
      <c r="E102" s="282"/>
      <c r="F102" s="390"/>
    </row>
    <row r="103" spans="4:6" x14ac:dyDescent="0.3">
      <c r="D103" s="389"/>
      <c r="E103" s="282"/>
      <c r="F103" s="390"/>
    </row>
    <row r="104" spans="4:6" x14ac:dyDescent="0.3">
      <c r="D104" s="389"/>
      <c r="E104" s="282"/>
      <c r="F104" s="390"/>
    </row>
    <row r="105" spans="4:6" x14ac:dyDescent="0.3">
      <c r="D105" s="389"/>
      <c r="E105" s="282"/>
      <c r="F105" s="390"/>
    </row>
    <row r="107" spans="4:6" x14ac:dyDescent="0.3">
      <c r="E107" s="391"/>
      <c r="F107" s="391"/>
    </row>
    <row r="109" spans="4:6" x14ac:dyDescent="0.3">
      <c r="F109" s="390"/>
    </row>
    <row r="110" spans="4:6" x14ac:dyDescent="0.3">
      <c r="F110" s="390"/>
    </row>
  </sheetData>
  <mergeCells count="12">
    <mergeCell ref="D44:D45"/>
    <mergeCell ref="E44:E45"/>
    <mergeCell ref="F44:F45"/>
    <mergeCell ref="G44:G45"/>
    <mergeCell ref="H44:H45"/>
    <mergeCell ref="E11:E12"/>
    <mergeCell ref="F11:F12"/>
    <mergeCell ref="B7:F7"/>
    <mergeCell ref="F1:G1"/>
    <mergeCell ref="B2:H2"/>
    <mergeCell ref="B5:F5"/>
    <mergeCell ref="B6:F6"/>
  </mergeCells>
  <pageMargins left="0.70866141732283472" right="0.70866141732283472" top="0.74803149606299213" bottom="0.74803149606299213" header="0.31496062992125984" footer="0.31496062992125984"/>
  <pageSetup paperSize="8" scale="75" orientation="portrait" r:id="rId1"/>
  <rowBreaks count="1" manualBreakCount="1">
    <brk id="42" max="9" man="1"/>
  </rowBreaks>
  <colBreaks count="1" manualBreakCount="1">
    <brk id="11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12</vt:i4>
      </vt:variant>
    </vt:vector>
  </HeadingPairs>
  <TitlesOfParts>
    <vt:vector size="39" baseType="lpstr">
      <vt:lpstr>Tartalom</vt:lpstr>
      <vt:lpstr>Mérleg</vt:lpstr>
      <vt:lpstr>Működési bevételek</vt:lpstr>
      <vt:lpstr>Felhalmozási bevételek</vt:lpstr>
      <vt:lpstr>Működési kiadások</vt:lpstr>
      <vt:lpstr>Felhalmozási kiadások</vt:lpstr>
      <vt:lpstr>Állami támogatások </vt:lpstr>
      <vt:lpstr>támogatás</vt:lpstr>
      <vt:lpstr>Címrend</vt:lpstr>
      <vt:lpstr>Létszámok</vt:lpstr>
      <vt:lpstr>Közvetett támogatások</vt:lpstr>
      <vt:lpstr>Finanszírozás</vt:lpstr>
      <vt:lpstr>Gördülő tervezés</vt:lpstr>
      <vt:lpstr> hitel</vt:lpstr>
      <vt:lpstr>Vagyonmérleg</vt:lpstr>
      <vt:lpstr>Eredménykimutatás</vt:lpstr>
      <vt:lpstr>Maradványkimutatás</vt:lpstr>
      <vt:lpstr>Bevételek korm.funkciónként</vt:lpstr>
      <vt:lpstr>Kiadások korm.funkciónként</vt:lpstr>
      <vt:lpstr>2024. tagdíj</vt:lpstr>
      <vt:lpstr>Felosztás</vt:lpstr>
      <vt:lpstr>Hitelek</vt:lpstr>
      <vt:lpstr>Többéves </vt:lpstr>
      <vt:lpstr>EU-s projektek</vt:lpstr>
      <vt:lpstr>Saját bevételek részletezése</vt:lpstr>
      <vt:lpstr>Adósságot keletkeztető fejleszt</vt:lpstr>
      <vt:lpstr>2023-2024 tagdíj</vt:lpstr>
      <vt:lpstr>' hitel'!Nyomtatási_terület</vt:lpstr>
      <vt:lpstr>'2023-2024 tagdíj'!Nyomtatási_terület</vt:lpstr>
      <vt:lpstr>'Állami támogatások '!Nyomtatási_terület</vt:lpstr>
      <vt:lpstr>Címrend!Nyomtatási_terület</vt:lpstr>
      <vt:lpstr>'Felhalmozási bevételek'!Nyomtatási_terület</vt:lpstr>
      <vt:lpstr>'Felhalmozási kiadások'!Nyomtatási_terület</vt:lpstr>
      <vt:lpstr>Finanszírozás!Nyomtatási_terület</vt:lpstr>
      <vt:lpstr>'Közvetett támogatások'!Nyomtatási_terület</vt:lpstr>
      <vt:lpstr>'Működési bevételek'!Nyomtatási_terület</vt:lpstr>
      <vt:lpstr>'Működési kiadások'!Nyomtatási_terület</vt:lpstr>
      <vt:lpstr>'Saját bevételek részletezése'!Nyomtatási_terület</vt:lpstr>
      <vt:lpstr>'Többéves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2025-05-14T17:00:08Z</cp:lastPrinted>
  <dcterms:created xsi:type="dcterms:W3CDTF">2012-07-24T10:47:23Z</dcterms:created>
  <dcterms:modified xsi:type="dcterms:W3CDTF">2025-05-15T22:16:46Z</dcterms:modified>
</cp:coreProperties>
</file>