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855" windowWidth="19815" windowHeight="7065" activeTab="11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5" sheetId="8" r:id="rId6"/>
    <sheet name="3" sheetId="6" r:id="rId7"/>
    <sheet name="4" sheetId="7" r:id="rId8"/>
    <sheet name="6" sheetId="11" r:id="rId9"/>
    <sheet name="7" sheetId="12" r:id="rId10"/>
    <sheet name="8" sheetId="13" r:id="rId11"/>
    <sheet name="9" sheetId="14" r:id="rId12"/>
  </sheets>
  <externalReferences>
    <externalReference r:id="rId13"/>
    <externalReference r:id="rId14"/>
    <externalReference r:id="rId15"/>
  </externalReferences>
  <calcPr calcId="145621"/>
</workbook>
</file>

<file path=xl/calcChain.xml><?xml version="1.0" encoding="utf-8"?>
<calcChain xmlns="http://schemas.openxmlformats.org/spreadsheetml/2006/main">
  <c r="M26" i="12" l="1"/>
  <c r="N26" i="12"/>
  <c r="J15" i="7"/>
  <c r="F16" i="7"/>
  <c r="H15" i="6"/>
  <c r="G28" i="8"/>
  <c r="F28" i="8"/>
  <c r="C28" i="8"/>
  <c r="B28" i="8"/>
  <c r="C29" i="2"/>
  <c r="C17" i="5"/>
  <c r="B17" i="13" l="1"/>
  <c r="B13" i="13"/>
  <c r="B31" i="13" s="1"/>
  <c r="M75" i="12"/>
  <c r="J75" i="12"/>
  <c r="G75" i="12"/>
  <c r="D75" i="12"/>
  <c r="L65" i="12"/>
  <c r="L64" i="12"/>
  <c r="N52" i="12"/>
  <c r="L41" i="12"/>
  <c r="L40" i="12"/>
  <c r="J27" i="12"/>
  <c r="J28" i="12" s="1"/>
  <c r="B28" i="12"/>
  <c r="N23" i="12"/>
  <c r="N27" i="12" l="1"/>
  <c r="N18" i="12" l="1"/>
  <c r="N17" i="12"/>
  <c r="M15" i="12"/>
  <c r="J15" i="12"/>
  <c r="G15" i="12"/>
  <c r="D15" i="12"/>
  <c r="C34" i="11"/>
  <c r="C33" i="11"/>
  <c r="C29" i="11"/>
  <c r="C19" i="11"/>
  <c r="C18" i="11"/>
  <c r="C17" i="11"/>
  <c r="C16" i="11"/>
  <c r="C20" i="8"/>
  <c r="F19" i="8"/>
  <c r="C25" i="3"/>
  <c r="D28" i="4"/>
  <c r="D26" i="4"/>
  <c r="D24" i="4"/>
  <c r="D23" i="4"/>
  <c r="D17" i="4"/>
  <c r="D16" i="4"/>
  <c r="C33" i="5" l="1"/>
  <c r="C24" i="5"/>
  <c r="C15" i="2"/>
  <c r="C15" i="5"/>
  <c r="C14" i="5"/>
  <c r="E13" i="2" s="1"/>
  <c r="C13" i="5"/>
  <c r="C12" i="5"/>
  <c r="C40" i="4"/>
  <c r="C39" i="4"/>
  <c r="C30" i="4"/>
  <c r="C27" i="4"/>
  <c r="C25" i="4"/>
  <c r="C22" i="4"/>
  <c r="D22" i="4" s="1"/>
  <c r="C15" i="4"/>
  <c r="D15" i="4" s="1"/>
  <c r="C14" i="4"/>
  <c r="D14" i="4" s="1"/>
  <c r="C13" i="4"/>
  <c r="D13" i="4" s="1"/>
  <c r="C12" i="4"/>
  <c r="D12" i="4" s="1"/>
  <c r="D28" i="3"/>
  <c r="D26" i="3"/>
  <c r="D24" i="3"/>
  <c r="D23" i="3"/>
  <c r="D17" i="3"/>
  <c r="D16" i="3"/>
  <c r="D46" i="3"/>
  <c r="C45" i="3"/>
  <c r="C44" i="3"/>
  <c r="D44" i="3" s="1"/>
  <c r="C43" i="3"/>
  <c r="D43" i="3" s="1"/>
  <c r="C42" i="3"/>
  <c r="D42" i="3" s="1"/>
  <c r="C41" i="3"/>
  <c r="D41" i="3" s="1"/>
  <c r="C40" i="3"/>
  <c r="D40" i="3" s="1"/>
  <c r="C39" i="3"/>
  <c r="D39" i="3" s="1"/>
  <c r="C38" i="3"/>
  <c r="D38" i="3" s="1"/>
  <c r="C37" i="3"/>
  <c r="C30" i="3"/>
  <c r="D25" i="3"/>
  <c r="C22" i="3"/>
  <c r="C15" i="3"/>
  <c r="D15" i="3" s="1"/>
  <c r="C14" i="3"/>
  <c r="D14" i="3" s="1"/>
  <c r="C13" i="3"/>
  <c r="D13" i="3" s="1"/>
  <c r="C12" i="3"/>
  <c r="D12" i="3" s="1"/>
  <c r="B21" i="8" l="1"/>
  <c r="E22" i="2"/>
  <c r="D37" i="3"/>
  <c r="C19" i="8"/>
  <c r="D45" i="3"/>
  <c r="D19" i="8"/>
  <c r="D18" i="4"/>
  <c r="D20" i="4" s="1"/>
  <c r="D20" i="8"/>
  <c r="D14" i="7"/>
  <c r="I15" i="7"/>
  <c r="G21" i="8"/>
  <c r="D30" i="3"/>
  <c r="G19" i="8"/>
  <c r="C30" i="2"/>
  <c r="G20" i="8"/>
  <c r="I14" i="7"/>
  <c r="D30" i="4"/>
  <c r="D22" i="3"/>
  <c r="B19" i="8"/>
  <c r="D25" i="4"/>
  <c r="E20" i="8"/>
  <c r="C30" i="11"/>
  <c r="D27" i="4"/>
  <c r="D18" i="3"/>
  <c r="D20" i="3" s="1"/>
  <c r="D29" i="4" l="1"/>
  <c r="D32" i="4" s="1"/>
  <c r="B47" i="3"/>
  <c r="B46" i="3"/>
  <c r="B45" i="3"/>
  <c r="B43" i="3"/>
  <c r="B42" i="3"/>
  <c r="B41" i="3"/>
  <c r="B40" i="3"/>
  <c r="B39" i="3"/>
  <c r="B38" i="3"/>
  <c r="B37" i="3"/>
  <c r="B29" i="2"/>
  <c r="B32" i="2" s="1"/>
  <c r="B17" i="2"/>
  <c r="B20" i="2" s="1"/>
  <c r="B49" i="3" l="1"/>
  <c r="C31" i="13" l="1"/>
  <c r="C13" i="13"/>
  <c r="E27" i="14"/>
  <c r="E16" i="14"/>
  <c r="E15" i="14"/>
  <c r="E14" i="14"/>
  <c r="E13" i="14"/>
  <c r="E12" i="14"/>
  <c r="E11" i="14"/>
  <c r="E10" i="14"/>
  <c r="E9" i="14"/>
  <c r="C32" i="11"/>
  <c r="C27" i="11"/>
  <c r="C15" i="11"/>
  <c r="G29" i="8"/>
  <c r="F29" i="8"/>
  <c r="B29" i="8"/>
  <c r="C29" i="8"/>
  <c r="C13" i="7"/>
  <c r="B32" i="5"/>
  <c r="B35" i="5" s="1"/>
  <c r="B16" i="5"/>
  <c r="H14" i="7"/>
  <c r="E14" i="7"/>
  <c r="B29" i="4"/>
  <c r="B32" i="4" s="1"/>
  <c r="B18" i="4"/>
  <c r="B20" i="4" s="1"/>
  <c r="D13" i="7"/>
  <c r="G13" i="7"/>
  <c r="E29" i="14" l="1"/>
  <c r="C41" i="4"/>
  <c r="B19" i="5"/>
  <c r="B22" i="5" s="1"/>
  <c r="E19" i="14"/>
  <c r="I13" i="7" l="1"/>
  <c r="E13" i="7"/>
  <c r="H13" i="6"/>
  <c r="B29" i="3"/>
  <c r="B32" i="3" s="1"/>
  <c r="B18" i="3"/>
  <c r="B20" i="3" s="1"/>
  <c r="B20" i="8" l="1"/>
  <c r="H20" i="8" s="1"/>
  <c r="C13" i="8"/>
  <c r="B13" i="8"/>
  <c r="E12" i="8"/>
  <c r="D12" i="8"/>
  <c r="C12" i="8"/>
  <c r="B12" i="8"/>
  <c r="E11" i="8"/>
  <c r="C11" i="8"/>
  <c r="B11" i="8"/>
  <c r="B15" i="7"/>
  <c r="B14" i="7"/>
  <c r="J14" i="7" s="1"/>
  <c r="B13" i="7"/>
  <c r="C15" i="6"/>
  <c r="B15" i="6"/>
  <c r="E14" i="6"/>
  <c r="D14" i="6"/>
  <c r="C14" i="6"/>
  <c r="B14" i="6"/>
  <c r="E13" i="6"/>
  <c r="E16" i="6" s="1"/>
  <c r="C13" i="6"/>
  <c r="B13" i="6"/>
  <c r="E24" i="2"/>
  <c r="E29" i="2"/>
  <c r="E32" i="2" s="1"/>
  <c r="C22" i="2"/>
  <c r="E12" i="2"/>
  <c r="C12" i="2"/>
  <c r="E11" i="2"/>
  <c r="C11" i="2"/>
  <c r="D17" i="13"/>
  <c r="D31" i="13" s="1"/>
  <c r="M77" i="12"/>
  <c r="L77" i="12"/>
  <c r="K77" i="12"/>
  <c r="J77" i="12"/>
  <c r="I77" i="12"/>
  <c r="H77" i="12"/>
  <c r="G77" i="12"/>
  <c r="F77" i="12"/>
  <c r="E77" i="12"/>
  <c r="C77" i="12"/>
  <c r="B77" i="12"/>
  <c r="N76" i="12"/>
  <c r="D77" i="12"/>
  <c r="N74" i="12"/>
  <c r="N73" i="12"/>
  <c r="M69" i="12"/>
  <c r="L69" i="12"/>
  <c r="K69" i="12"/>
  <c r="I69" i="12"/>
  <c r="H69" i="12"/>
  <c r="G69" i="12"/>
  <c r="F69" i="12"/>
  <c r="E69" i="12"/>
  <c r="D69" i="12"/>
  <c r="C69" i="12"/>
  <c r="B69" i="12"/>
  <c r="N67" i="12"/>
  <c r="N66" i="12"/>
  <c r="N65" i="12"/>
  <c r="J69" i="12"/>
  <c r="M53" i="12"/>
  <c r="L53" i="12"/>
  <c r="K53" i="12"/>
  <c r="I53" i="12"/>
  <c r="G53" i="12"/>
  <c r="E53" i="12"/>
  <c r="D53" i="12"/>
  <c r="C53" i="12"/>
  <c r="B53" i="12"/>
  <c r="J53" i="12"/>
  <c r="H53" i="12"/>
  <c r="F53" i="12"/>
  <c r="N50" i="12"/>
  <c r="N49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N43" i="12"/>
  <c r="N42" i="12"/>
  <c r="N41" i="12"/>
  <c r="N40" i="12"/>
  <c r="M28" i="12"/>
  <c r="L28" i="12"/>
  <c r="K28" i="12"/>
  <c r="I28" i="12"/>
  <c r="H28" i="12"/>
  <c r="G28" i="12"/>
  <c r="F28" i="12"/>
  <c r="E28" i="12"/>
  <c r="D28" i="12"/>
  <c r="C28" i="12"/>
  <c r="N25" i="12"/>
  <c r="N28" i="12" s="1"/>
  <c r="M19" i="12"/>
  <c r="L19" i="12"/>
  <c r="K19" i="12"/>
  <c r="J19" i="12"/>
  <c r="I19" i="12"/>
  <c r="H19" i="12"/>
  <c r="G19" i="12"/>
  <c r="F19" i="12"/>
  <c r="E19" i="12"/>
  <c r="D19" i="12"/>
  <c r="C19" i="12"/>
  <c r="B19" i="12"/>
  <c r="N16" i="12"/>
  <c r="N15" i="12"/>
  <c r="N14" i="12"/>
  <c r="N13" i="12"/>
  <c r="F22" i="8"/>
  <c r="D22" i="8"/>
  <c r="C22" i="8"/>
  <c r="H21" i="8"/>
  <c r="I16" i="7"/>
  <c r="G16" i="7"/>
  <c r="D16" i="7"/>
  <c r="C16" i="7"/>
  <c r="C13" i="11" s="1"/>
  <c r="C20" i="11" s="1"/>
  <c r="H16" i="6"/>
  <c r="D15" i="6"/>
  <c r="B41" i="4"/>
  <c r="C29" i="4"/>
  <c r="C32" i="4" s="1"/>
  <c r="C18" i="4"/>
  <c r="C20" i="4" s="1"/>
  <c r="C18" i="3"/>
  <c r="C20" i="3" s="1"/>
  <c r="D13" i="6"/>
  <c r="D28" i="2"/>
  <c r="D25" i="2"/>
  <c r="D24" i="2"/>
  <c r="D23" i="2"/>
  <c r="D16" i="2"/>
  <c r="D15" i="2"/>
  <c r="N45" i="12" l="1"/>
  <c r="N19" i="12"/>
  <c r="D22" i="2"/>
  <c r="C16" i="6"/>
  <c r="B16" i="7"/>
  <c r="E14" i="8"/>
  <c r="D11" i="2"/>
  <c r="C14" i="8"/>
  <c r="D12" i="2"/>
  <c r="B22" i="8"/>
  <c r="H12" i="8"/>
  <c r="B14" i="8"/>
  <c r="I14" i="6"/>
  <c r="B16" i="6"/>
  <c r="I13" i="6"/>
  <c r="D16" i="6"/>
  <c r="E16" i="7"/>
  <c r="N51" i="12"/>
  <c r="N53" i="12" s="1"/>
  <c r="C13" i="2"/>
  <c r="C14" i="2"/>
  <c r="D11" i="8"/>
  <c r="D13" i="8"/>
  <c r="G13" i="8"/>
  <c r="G14" i="8" s="1"/>
  <c r="N64" i="12"/>
  <c r="N69" i="12" s="1"/>
  <c r="N75" i="12"/>
  <c r="N77" i="12" s="1"/>
  <c r="E14" i="2"/>
  <c r="G15" i="6"/>
  <c r="G16" i="6" s="1"/>
  <c r="E17" i="2" l="1"/>
  <c r="E20" i="2" s="1"/>
  <c r="H11" i="8"/>
  <c r="D14" i="8"/>
  <c r="C17" i="2"/>
  <c r="D13" i="2"/>
  <c r="D14" i="2"/>
  <c r="D17" i="2" l="1"/>
  <c r="C20" i="5" l="1"/>
  <c r="C18" i="2" l="1"/>
  <c r="F15" i="6"/>
  <c r="F13" i="8"/>
  <c r="F16" i="6" l="1"/>
  <c r="I15" i="6"/>
  <c r="I16" i="6" s="1"/>
  <c r="D18" i="2"/>
  <c r="C20" i="2"/>
  <c r="D20" i="2" s="1"/>
  <c r="F14" i="8"/>
  <c r="H13" i="8"/>
  <c r="H14" i="8" s="1"/>
  <c r="C29" i="5" l="1"/>
  <c r="C27" i="2" l="1"/>
  <c r="D27" i="2" s="1"/>
  <c r="C47" i="3" l="1"/>
  <c r="E19" i="8" s="1"/>
  <c r="H19" i="8" l="1"/>
  <c r="E22" i="8"/>
  <c r="D47" i="3"/>
  <c r="D49" i="3" s="1"/>
  <c r="C49" i="3"/>
  <c r="H13" i="7"/>
  <c r="H16" i="7" l="1"/>
  <c r="J13" i="7"/>
  <c r="J16" i="7" s="1"/>
  <c r="G22" i="8" l="1"/>
  <c r="H22" i="8"/>
  <c r="C28" i="5" l="1"/>
  <c r="C32" i="5" l="1"/>
  <c r="C35" i="5" s="1"/>
  <c r="C26" i="2"/>
  <c r="D26" i="2" l="1"/>
  <c r="C27" i="3"/>
  <c r="C31" i="11" s="1"/>
  <c r="C35" i="11" s="1"/>
  <c r="C32" i="2" l="1"/>
  <c r="D32" i="2" s="1"/>
  <c r="D29" i="2"/>
  <c r="D27" i="3"/>
  <c r="C29" i="3"/>
  <c r="C16" i="5" l="1"/>
  <c r="C19" i="5" s="1"/>
  <c r="C22" i="5" s="1"/>
  <c r="D29" i="3"/>
  <c r="C32" i="3"/>
  <c r="D32" i="3" s="1"/>
</calcChain>
</file>

<file path=xl/sharedStrings.xml><?xml version="1.0" encoding="utf-8"?>
<sst xmlns="http://schemas.openxmlformats.org/spreadsheetml/2006/main" count="639" uniqueCount="265">
  <si>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</si>
  <si>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</si>
  <si>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</si>
  <si>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</si>
  <si>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</si>
  <si>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</si>
  <si>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</si>
  <si>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</si>
  <si>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</si>
  <si>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</si>
  <si>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</si>
  <si>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</si>
  <si>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</si>
  <si>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</si>
  <si>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</si>
  <si>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MOSONMAGYARÓVÁRI TÖBBCÉLÚ KISTÉRSÉGI TÁRSULÁS ÉS KÖLTSÉGVETÉSI SZERVEI</t>
  </si>
  <si>
    <t>kötelező</t>
  </si>
  <si>
    <t>önként</t>
  </si>
  <si>
    <t>eredeti</t>
  </si>
  <si>
    <t>Rovatrend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</si>
  <si>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</si>
  <si>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</si>
  <si>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</si>
  <si>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</si>
  <si>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</si>
  <si>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</si>
  <si>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</si>
  <si>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</si>
  <si>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</si>
  <si>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</si>
  <si>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</si>
  <si>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</si>
  <si>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</si>
  <si>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</si>
  <si>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K512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</si>
  <si>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</si>
  <si>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</si>
  <si>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</si>
  <si>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</si>
  <si>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</si>
  <si>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</si>
  <si>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</si>
  <si>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</si>
  <si>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</si>
  <si>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</si>
  <si>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</si>
  <si>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</si>
  <si>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</si>
  <si>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</si>
  <si>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</si>
  <si>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Pénzmaradvány felhasználás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</si>
  <si>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</si>
  <si>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</si>
  <si>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</si>
  <si>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</si>
  <si>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</si>
  <si>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</si>
  <si>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</si>
  <si>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</si>
  <si>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</si>
  <si>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</si>
  <si>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</si>
  <si>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</si>
  <si>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</si>
  <si>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</si>
  <si>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</si>
  <si>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</si>
  <si>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</si>
  <si>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</si>
  <si>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</si>
  <si>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</si>
  <si>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Felügyeleti szervtől átvett támogatás</t>
  </si>
  <si>
    <t>Szociális és gyermekjóléti alapszolg., állami támogatás</t>
  </si>
  <si>
    <t>Gyermekek átmeneti int. Ellátása, állami támogatás</t>
  </si>
  <si>
    <t>Térségi Társulástól érkező támogatás</t>
  </si>
  <si>
    <t>Összesen</t>
  </si>
  <si>
    <t>2./D SZÁMÚ MELLÉKLET</t>
  </si>
  <si>
    <t>önként vállalt feladat</t>
  </si>
  <si>
    <t>*</t>
  </si>
  <si>
    <t>Felügyelet alá tartozó költségvetési szerv. Támogat.</t>
  </si>
  <si>
    <t>K915</t>
  </si>
  <si>
    <t>3. SZÁMÚ MELLÉKLET</t>
  </si>
  <si>
    <t>Kiadások összefoglalása</t>
  </si>
  <si>
    <t>Tervezett kiadások összesítése ezer Ft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</si>
  <si>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</si>
  <si>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</si>
  <si>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</si>
  <si>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</si>
  <si>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</si>
  <si>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</si>
  <si>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</si>
  <si>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4. SZÁMÚ MELLÉKLET</t>
  </si>
  <si>
    <t xml:space="preserve"> Bevételek összefoglalása</t>
  </si>
  <si>
    <t>Tervezett  bevételek összesítése ezer Ft</t>
  </si>
  <si>
    <t>Intézmény saját bevételei</t>
  </si>
  <si>
    <t>MÖK támogatás</t>
  </si>
  <si>
    <t>Egyéb támogatás értékű műk. bevétel</t>
  </si>
  <si>
    <t>Feladatfinanszírozás</t>
  </si>
  <si>
    <t>Társulási támogatás</t>
  </si>
  <si>
    <t>5. SZÁMÚ MELLÉKLET</t>
  </si>
  <si>
    <t>Kiadások és Bevételek működési egyensúlya</t>
  </si>
  <si>
    <t>Működési kiadások ezer Ft</t>
  </si>
  <si>
    <t>Működési bevételek ezer Ft</t>
  </si>
  <si>
    <t>Jogcím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</si>
  <si>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átvett</t>
    </r>
  </si>
  <si>
    <t>támogatások</t>
  </si>
  <si>
    <t>Átadó megnevezése</t>
  </si>
  <si>
    <t>Átadás célja</t>
  </si>
  <si>
    <t>Összege ezer Ft-ban</t>
  </si>
  <si>
    <t>Magyar Államkincstár</t>
  </si>
  <si>
    <t>Állami támogatással finanszírozott feladatok ellátásra</t>
  </si>
  <si>
    <t>Nemzeti Rehabilitációs és Szociális Hivatal</t>
  </si>
  <si>
    <t>Mosonmagyaróvár Város Önkormányzata</t>
  </si>
  <si>
    <t>Kistérségi Egyesített Szociális Intézmény működésének támogatása</t>
  </si>
  <si>
    <t>Kistérségi Gyermekjóléti és Családsegítő Szolgáltató Központ működési támogatása</t>
  </si>
  <si>
    <t xml:space="preserve"> TÁMOP 5.4.9-11/1-2012-0014</t>
  </si>
  <si>
    <t>Összesen:</t>
  </si>
  <si>
    <t>1. oldal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</si>
  <si>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átadandó</t>
    </r>
  </si>
  <si>
    <t>Átvevő megnevezése</t>
  </si>
  <si>
    <t>Támogatás célja</t>
  </si>
  <si>
    <t>Társulás által átadandó pénzeszköz</t>
  </si>
  <si>
    <t>Karolina Kórház - Rendelőintézet</t>
  </si>
  <si>
    <t>Orvosi gép-, műszer beszerzés támogatása</t>
  </si>
  <si>
    <t>Működési támogatás, mely tartalmazza normatív állami támogatást, feladatalapú támogatást, MÖK támogatást, társulási támogatást</t>
  </si>
  <si>
    <t>Kistérségi Egyesített Szociális Intézet</t>
  </si>
  <si>
    <t>2. oldal</t>
  </si>
  <si>
    <t>Mosonmagyaróvári Többcélú Kistérségi Társulás Tanácsa</t>
  </si>
  <si>
    <t>Havi bontás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</si>
  <si>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</si>
  <si>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</si>
  <si>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</si>
  <si>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</si>
  <si>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</si>
  <si>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</si>
  <si>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</si>
  <si>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</si>
  <si>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</si>
  <si>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</si>
  <si>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</si>
  <si>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</si>
  <si>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</si>
  <si>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Kiadásnem</t>
  </si>
  <si>
    <t>Személyi juttatás</t>
  </si>
  <si>
    <t>Támogatások</t>
  </si>
  <si>
    <t>Beruházási kiadás</t>
  </si>
  <si>
    <t>Kiadások összesen</t>
  </si>
  <si>
    <t>Bevétel</t>
  </si>
  <si>
    <t>Egyéb támogatás</t>
  </si>
  <si>
    <t>Bevételek összesen</t>
  </si>
  <si>
    <t>Egyesített Szociális Intézet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</si>
  <si>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</si>
  <si>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</si>
  <si>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</si>
  <si>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</si>
  <si>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</si>
  <si>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</si>
  <si>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</si>
  <si>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</si>
  <si>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</si>
  <si>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</si>
  <si>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</si>
  <si>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</si>
  <si>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</si>
  <si>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</si>
  <si>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</si>
  <si>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</si>
  <si>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</si>
  <si>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</si>
  <si>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</si>
  <si>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</si>
  <si>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</si>
  <si>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Állami támogatások</t>
  </si>
  <si>
    <t>térségi társulás támogatása</t>
  </si>
  <si>
    <t>100 Ft/lakos</t>
  </si>
  <si>
    <t>KGYCSSZK támogatására</t>
  </si>
  <si>
    <t>20 Ft/lakos</t>
  </si>
  <si>
    <t>Kórház támogatására</t>
  </si>
  <si>
    <t>évi kétszeri befizetés</t>
  </si>
  <si>
    <t>előirányzat 2015.</t>
  </si>
  <si>
    <t>2015. év</t>
  </si>
  <si>
    <t>200 Ft/lakos</t>
  </si>
  <si>
    <t>Szolidaritási alap</t>
  </si>
  <si>
    <t>10 Ft/lakos</t>
  </si>
  <si>
    <t>Felújítási alap</t>
  </si>
  <si>
    <t>2015. évi</t>
  </si>
  <si>
    <t>Térségi Társulás felé befizetett tagdíjból átadásra kerülő</t>
  </si>
  <si>
    <t>K5</t>
  </si>
  <si>
    <t>K513</t>
  </si>
  <si>
    <t>B16, 816</t>
  </si>
  <si>
    <t>Felhalmozási kiadások ezer Ft</t>
  </si>
  <si>
    <t>Felhalmozási bevételek ezer Ft</t>
  </si>
  <si>
    <t>Térségi tagdíj, felújítási alap, szolidaritási alap, orvosi gép- műszer beszerzés támogatása</t>
  </si>
  <si>
    <t>Szociális foglalkoztatás feladatalapú finanszírozása (gesztor önkormányzaton keresztül)</t>
  </si>
  <si>
    <t>Jelzőrendszer támogatása (Térségi Társuláson keresztül)</t>
  </si>
  <si>
    <t>Település önkormányzatok (magába foglalja gesztor önkormányzat támogatását is)</t>
  </si>
  <si>
    <t>Mosonmagyaróvári Polgármesteri Hivatal</t>
  </si>
  <si>
    <t>Társulási feladatok ellátására hozzájárulás</t>
  </si>
  <si>
    <t>Jelzőrendszer működési hozzájárulás (nem tényleges támogatás továbbszámlázott szolgáltatás bevételeként jelenik meg szerződés szerint)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</si>
  <si>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</si>
  <si>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</si>
  <si>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</si>
  <si>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</si>
  <si>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</si>
  <si>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</si>
  <si>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</si>
  <si>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</si>
  <si>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</si>
  <si>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</si>
  <si>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</si>
  <si>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</si>
  <si>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</si>
  <si>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</si>
  <si>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</si>
  <si>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</si>
  <si>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</si>
  <si>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</si>
  <si>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</si>
  <si>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Rovat: B113</t>
  </si>
  <si>
    <t>3.a.</t>
  </si>
  <si>
    <t>4.a</t>
  </si>
  <si>
    <t>GyÁÓ bértámogatás</t>
  </si>
  <si>
    <t>GyÁÓ intézmény-üzelemtetés</t>
  </si>
  <si>
    <t>Feladat</t>
  </si>
  <si>
    <t>Mindösszesen</t>
  </si>
  <si>
    <t>2015. január 1.</t>
  </si>
  <si>
    <t>Mosonmagyaróvár, 2016. január 31.</t>
  </si>
  <si>
    <t>2016. évi</t>
  </si>
  <si>
    <t>előirányzat 2016.</t>
  </si>
  <si>
    <t>Társulás maradványából</t>
  </si>
  <si>
    <t>Változás 2016-hoz képest</t>
  </si>
  <si>
    <t>Irányító szervi támogatás részletezése 2015.-2016. év eredeti Ft-ban</t>
  </si>
  <si>
    <t>változás</t>
  </si>
  <si>
    <t>2016. évhez képest</t>
  </si>
  <si>
    <t>2016. év</t>
  </si>
  <si>
    <t>Maradvány felhasználást</t>
  </si>
  <si>
    <t>Maradvány felhasználás</t>
  </si>
  <si>
    <t>GYÁÓ bértámogatás és intézményüzemeltetési támogatás</t>
  </si>
  <si>
    <t>2016. ÉVI KÖLTSÉGVETÉSI HATOZATÁHOZ</t>
  </si>
  <si>
    <t>Eltérés 2016. képest</t>
  </si>
  <si>
    <t>2016. év terv</t>
  </si>
  <si>
    <t>6. SZÁMÚ MELLÉKLET</t>
  </si>
  <si>
    <t>2016. ÉVI KÖLTSÉGVETÉSI HATÁROZATÁHOZ</t>
  </si>
  <si>
    <t>Civil szervezet számára Tanács döntése alapján</t>
  </si>
  <si>
    <t>Jubileumi jutalomra, felmentési bérre átadandó</t>
  </si>
  <si>
    <t>7. SZÁMÚ MELLÉKLET</t>
  </si>
  <si>
    <t>likviditási ütemterve 2016. év ezer Ft-ban</t>
  </si>
  <si>
    <t>Intézményi működési bevétel</t>
  </si>
  <si>
    <t>Irányító szervi támogatás részletezése 2015.-2016. év eredeti</t>
  </si>
  <si>
    <t>2016. évi költségvetéséről szóló határozatához</t>
  </si>
  <si>
    <t>2016. január 1.</t>
  </si>
  <si>
    <t>8. számú melléklet</t>
  </si>
  <si>
    <t>9. számú melléklet</t>
  </si>
  <si>
    <t>Család és gyermekjóléti szolgálat</t>
  </si>
  <si>
    <t>Fajlagos támogatás 2015. évi C. tv. Alapján</t>
  </si>
  <si>
    <t>3000000 Ft/mutató</t>
  </si>
  <si>
    <t>3.b</t>
  </si>
  <si>
    <t>Család és gyermekjóléti központ</t>
  </si>
  <si>
    <t>8 fő</t>
  </si>
  <si>
    <t>étkeztetéshez kapcsolódó kiadások és bevételek alapján</t>
  </si>
  <si>
    <t>2016. évi költségvetéséről szóló …../2016. (II….) TT. határozatához</t>
  </si>
  <si>
    <t>65./2015. (XI. 24.) TT. Határozat alapján</t>
  </si>
  <si>
    <t>Család és Gyermekjóléti Központ</t>
  </si>
  <si>
    <t>TOP-s pályázatok bevételi forrása</t>
  </si>
  <si>
    <t>Felhalmozási projekt bevétel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</si>
</sst>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26" x14ac:knownFonts="1">
    <font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DBEEF4"/>
        <bgColor rgb="FFDBEEF4"/>
      </patternFill>
    </fill>
    <fill>
      <patternFill patternType="solid">
        <fgColor rgb="FFFCD5B5"/>
        <bgColor rgb="FFFCD5B5"/>
      </patternFill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9" fontId="1" fillId="0" borderId="0" applyFont="0" applyFill="0" applyBorder="0" applyAlignment="0" applyProtection="0"/>
    <xf numFmtId="168" fontId="2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4" fontId="4" fillId="0" borderId="0" applyBorder="0" applyProtection="0"/>
    <xf numFmtId="164" fontId="4" fillId="0" borderId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5" fillId="0" borderId="0" applyNumberFormat="0" applyBorder="0" applyProtection="0"/>
    <xf numFmtId="170" fontId="5" fillId="0" borderId="0" applyBorder="0" applyProtection="0"/>
  </cellStyleXfs>
  <cellXfs count="177">
    <xf numFmtId="0" fontId="0" fillId="0" borderId="0" xfId="0"/>
    <xf numFmtId="164" fontId="2" fillId="0" borderId="0" xfId="3" applyFont="1" applyFill="1" applyAlignment="1"/>
    <xf numFmtId="164" fontId="6" fillId="0" borderId="0" xfId="3" applyFont="1" applyFill="1" applyAlignment="1"/>
    <xf numFmtId="164" fontId="6" fillId="0" borderId="0" xfId="3" applyFont="1" applyFill="1" applyAlignment="1">
      <alignment horizontal="center"/>
    </xf>
    <xf numFmtId="164" fontId="8" fillId="0" borderId="0" xfId="3" applyFont="1" applyFill="1" applyAlignment="1">
      <alignment horizontal="center"/>
    </xf>
    <xf numFmtId="164" fontId="7" fillId="0" borderId="1" xfId="3" applyFont="1" applyFill="1" applyBorder="1" applyAlignment="1">
      <alignment horizontal="center" vertical="top" wrapText="1"/>
    </xf>
    <xf numFmtId="164" fontId="7" fillId="0" borderId="2" xfId="3" applyFont="1" applyFill="1" applyBorder="1" applyAlignment="1">
      <alignment horizontal="center" vertical="top" wrapText="1"/>
    </xf>
    <xf numFmtId="164" fontId="9" fillId="0" borderId="3" xfId="3" applyFont="1" applyFill="1" applyBorder="1" applyAlignment="1">
      <alignment horizontal="center" vertical="top" wrapText="1"/>
    </xf>
    <xf numFmtId="164" fontId="9" fillId="0" borderId="4" xfId="3" applyFont="1" applyFill="1" applyBorder="1" applyAlignment="1">
      <alignment horizontal="justify" vertical="top" wrapText="1"/>
    </xf>
    <xf numFmtId="164" fontId="9" fillId="0" borderId="2" xfId="3" applyFont="1" applyFill="1" applyBorder="1" applyAlignment="1">
      <alignment horizontal="justify" vertical="top" wrapText="1"/>
    </xf>
    <xf numFmtId="164" fontId="9" fillId="0" borderId="5" xfId="3" applyFont="1" applyFill="1" applyBorder="1" applyAlignment="1">
      <alignment horizontal="center" vertical="top" wrapText="1"/>
    </xf>
    <xf numFmtId="164" fontId="9" fillId="0" borderId="0" xfId="3" applyFont="1" applyFill="1" applyAlignment="1">
      <alignment horizontal="justify"/>
    </xf>
    <xf numFmtId="164" fontId="10" fillId="0" borderId="0" xfId="3" applyFont="1" applyFill="1" applyAlignment="1">
      <alignment horizontal="center"/>
    </xf>
    <xf numFmtId="164" fontId="11" fillId="2" borderId="0" xfId="3" applyFont="1" applyFill="1" applyAlignment="1">
      <alignment horizontal="center" wrapText="1"/>
    </xf>
    <xf numFmtId="164" fontId="12" fillId="0" borderId="7" xfId="3" applyFont="1" applyFill="1" applyBorder="1" applyAlignment="1">
      <alignment horizontal="center"/>
    </xf>
    <xf numFmtId="164" fontId="6" fillId="0" borderId="7" xfId="3" applyFont="1" applyFill="1" applyBorder="1" applyAlignment="1">
      <alignment horizontal="center"/>
    </xf>
    <xf numFmtId="164" fontId="12" fillId="0" borderId="8" xfId="3" applyFont="1" applyFill="1" applyBorder="1" applyAlignment="1">
      <alignment horizontal="center"/>
    </xf>
    <xf numFmtId="164" fontId="12" fillId="0" borderId="8" xfId="3" applyFont="1" applyFill="1" applyBorder="1" applyAlignment="1">
      <alignment horizontal="center" wrapText="1"/>
    </xf>
    <xf numFmtId="164" fontId="6" fillId="0" borderId="9" xfId="3" applyFont="1" applyFill="1" applyBorder="1" applyAlignment="1">
      <alignment horizontal="center"/>
    </xf>
    <xf numFmtId="164" fontId="13" fillId="0" borderId="10" xfId="3" applyFont="1" applyFill="1" applyBorder="1" applyAlignment="1"/>
    <xf numFmtId="166" fontId="13" fillId="0" borderId="10" xfId="3" applyNumberFormat="1" applyFont="1" applyFill="1" applyBorder="1" applyAlignment="1"/>
    <xf numFmtId="164" fontId="2" fillId="0" borderId="10" xfId="3" applyFont="1" applyFill="1" applyBorder="1" applyAlignment="1"/>
    <xf numFmtId="164" fontId="2" fillId="0" borderId="10" xfId="3" applyFont="1" applyFill="1" applyBorder="1" applyAlignment="1">
      <alignment wrapText="1"/>
    </xf>
    <xf numFmtId="166" fontId="13" fillId="0" borderId="11" xfId="3" applyNumberFormat="1" applyFont="1" applyFill="1" applyBorder="1" applyAlignment="1"/>
    <xf numFmtId="164" fontId="12" fillId="3" borderId="10" xfId="3" applyFont="1" applyFill="1" applyBorder="1" applyAlignment="1"/>
    <xf numFmtId="166" fontId="12" fillId="3" borderId="10" xfId="3" applyNumberFormat="1" applyFont="1" applyFill="1" applyBorder="1" applyAlignment="1"/>
    <xf numFmtId="166" fontId="12" fillId="3" borderId="11" xfId="3" applyNumberFormat="1" applyFont="1" applyFill="1" applyBorder="1" applyAlignment="1"/>
    <xf numFmtId="166" fontId="13" fillId="4" borderId="10" xfId="3" applyNumberFormat="1" applyFont="1" applyFill="1" applyBorder="1" applyAlignment="1"/>
    <xf numFmtId="166" fontId="12" fillId="0" borderId="10" xfId="3" applyNumberFormat="1" applyFont="1" applyFill="1" applyBorder="1" applyAlignment="1"/>
    <xf numFmtId="166" fontId="12" fillId="0" borderId="11" xfId="3" applyNumberFormat="1" applyFont="1" applyFill="1" applyBorder="1" applyAlignment="1"/>
    <xf numFmtId="166" fontId="13" fillId="0" borderId="0" xfId="3" applyNumberFormat="1" applyFont="1" applyFill="1" applyAlignment="1"/>
    <xf numFmtId="164" fontId="14" fillId="0" borderId="10" xfId="3" applyFont="1" applyFill="1" applyBorder="1" applyAlignment="1"/>
    <xf numFmtId="164" fontId="13" fillId="0" borderId="0" xfId="3" applyFont="1" applyFill="1" applyAlignment="1"/>
    <xf numFmtId="166" fontId="12" fillId="3" borderId="0" xfId="3" applyNumberFormat="1" applyFont="1" applyFill="1" applyAlignment="1"/>
    <xf numFmtId="164" fontId="12" fillId="0" borderId="10" xfId="3" applyFont="1" applyFill="1" applyBorder="1" applyAlignment="1"/>
    <xf numFmtId="166" fontId="12" fillId="0" borderId="12" xfId="3" applyNumberFormat="1" applyFont="1" applyFill="1" applyBorder="1" applyAlignment="1"/>
    <xf numFmtId="164" fontId="12" fillId="0" borderId="0" xfId="3" applyFont="1" applyFill="1" applyAlignment="1"/>
    <xf numFmtId="166" fontId="12" fillId="0" borderId="0" xfId="3" applyNumberFormat="1" applyFont="1" applyFill="1" applyAlignment="1"/>
    <xf numFmtId="164" fontId="11" fillId="2" borderId="0" xfId="3" applyFont="1" applyFill="1" applyAlignment="1"/>
    <xf numFmtId="164" fontId="11" fillId="2" borderId="0" xfId="3" applyFont="1" applyFill="1" applyAlignment="1">
      <alignment wrapText="1"/>
    </xf>
    <xf numFmtId="164" fontId="12" fillId="0" borderId="13" xfId="3" applyFont="1" applyFill="1" applyBorder="1" applyAlignment="1">
      <alignment horizontal="center"/>
    </xf>
    <xf numFmtId="164" fontId="12" fillId="0" borderId="14" xfId="3" applyFont="1" applyFill="1" applyBorder="1" applyAlignment="1">
      <alignment horizontal="center" wrapText="1"/>
    </xf>
    <xf numFmtId="0" fontId="15" fillId="0" borderId="0" xfId="0" applyFont="1"/>
    <xf numFmtId="49" fontId="0" fillId="0" borderId="10" xfId="0" applyNumberFormat="1" applyBorder="1"/>
    <xf numFmtId="49" fontId="0" fillId="0" borderId="10" xfId="0" applyNumberFormat="1" applyBorder="1" applyAlignment="1">
      <alignment wrapText="1"/>
    </xf>
    <xf numFmtId="167" fontId="6" fillId="0" borderId="0" xfId="1" applyNumberFormat="1" applyFont="1" applyFill="1" applyAlignment="1"/>
    <xf numFmtId="49" fontId="2" fillId="0" borderId="10" xfId="0" applyNumberFormat="1" applyFont="1" applyBorder="1" applyAlignment="1">
      <alignment wrapText="1"/>
    </xf>
    <xf numFmtId="164" fontId="10" fillId="0" borderId="0" xfId="3" applyFont="1" applyFill="1" applyAlignment="1">
      <alignment horizontal="center" wrapText="1"/>
    </xf>
    <xf numFmtId="164" fontId="2" fillId="0" borderId="0" xfId="3" applyFont="1" applyFill="1" applyAlignment="1">
      <alignment wrapText="1"/>
    </xf>
    <xf numFmtId="164" fontId="6" fillId="0" borderId="0" xfId="3" applyFont="1" applyFill="1" applyAlignment="1">
      <alignment wrapText="1"/>
    </xf>
    <xf numFmtId="165" fontId="16" fillId="0" borderId="10" xfId="2" applyNumberFormat="1" applyFont="1" applyFill="1" applyBorder="1" applyAlignment="1"/>
    <xf numFmtId="164" fontId="6" fillId="5" borderId="10" xfId="3" applyFont="1" applyFill="1" applyBorder="1" applyAlignment="1">
      <alignment wrapText="1"/>
    </xf>
    <xf numFmtId="165" fontId="6" fillId="5" borderId="10" xfId="2" applyNumberFormat="1" applyFont="1" applyFill="1" applyBorder="1" applyAlignment="1"/>
    <xf numFmtId="164" fontId="2" fillId="0" borderId="11" xfId="3" applyFont="1" applyFill="1" applyBorder="1" applyAlignment="1">
      <alignment wrapText="1"/>
    </xf>
    <xf numFmtId="165" fontId="17" fillId="0" borderId="10" xfId="2" applyNumberFormat="1" applyFont="1" applyFill="1" applyBorder="1" applyAlignment="1"/>
    <xf numFmtId="165" fontId="2" fillId="0" borderId="0" xfId="3" applyNumberFormat="1" applyFont="1" applyFill="1" applyAlignment="1"/>
    <xf numFmtId="164" fontId="6" fillId="5" borderId="0" xfId="3" applyFont="1" applyFill="1" applyAlignment="1">
      <alignment wrapText="1"/>
    </xf>
    <xf numFmtId="165" fontId="10" fillId="5" borderId="0" xfId="3" applyNumberFormat="1" applyFont="1" applyFill="1" applyAlignment="1"/>
    <xf numFmtId="165" fontId="6" fillId="0" borderId="0" xfId="2" applyNumberFormat="1" applyFont="1" applyFill="1" applyAlignment="1"/>
    <xf numFmtId="165" fontId="10" fillId="0" borderId="0" xfId="2" applyNumberFormat="1" applyFont="1" applyFill="1" applyAlignment="1"/>
    <xf numFmtId="164" fontId="2" fillId="0" borderId="10" xfId="3" applyFont="1" applyFill="1" applyBorder="1" applyAlignment="1">
      <alignment horizontal="center"/>
    </xf>
    <xf numFmtId="165" fontId="20" fillId="0" borderId="10" xfId="2" applyNumberFormat="1" applyFont="1" applyFill="1" applyBorder="1" applyAlignment="1"/>
    <xf numFmtId="164" fontId="6" fillId="5" borderId="10" xfId="3" applyFont="1" applyFill="1" applyBorder="1" applyAlignment="1"/>
    <xf numFmtId="165" fontId="18" fillId="5" borderId="10" xfId="3" applyNumberFormat="1" applyFont="1" applyFill="1" applyBorder="1" applyAlignment="1"/>
    <xf numFmtId="166" fontId="20" fillId="0" borderId="10" xfId="3" applyNumberFormat="1" applyFont="1" applyFill="1" applyBorder="1" applyAlignment="1"/>
    <xf numFmtId="166" fontId="2" fillId="0" borderId="0" xfId="3" applyNumberFormat="1" applyFont="1" applyFill="1" applyAlignment="1"/>
    <xf numFmtId="164" fontId="18" fillId="5" borderId="0" xfId="3" applyFont="1" applyFill="1" applyAlignment="1">
      <alignment wrapText="1"/>
    </xf>
    <xf numFmtId="164" fontId="18" fillId="5" borderId="0" xfId="3" applyFont="1" applyFill="1" applyAlignment="1"/>
    <xf numFmtId="166" fontId="18" fillId="5" borderId="0" xfId="3" applyNumberFormat="1" applyFont="1" applyFill="1" applyAlignment="1"/>
    <xf numFmtId="164" fontId="2" fillId="6" borderId="0" xfId="3" applyFont="1" applyFill="1" applyAlignment="1"/>
    <xf numFmtId="164" fontId="6" fillId="0" borderId="10" xfId="3" applyFont="1" applyFill="1" applyBorder="1" applyAlignment="1"/>
    <xf numFmtId="165" fontId="10" fillId="0" borderId="10" xfId="2" applyNumberFormat="1" applyFont="1" applyFill="1" applyBorder="1" applyAlignment="1"/>
    <xf numFmtId="164" fontId="6" fillId="5" borderId="0" xfId="3" applyFont="1" applyFill="1" applyAlignment="1"/>
    <xf numFmtId="165" fontId="10" fillId="5" borderId="0" xfId="2" applyNumberFormat="1" applyFont="1" applyFill="1" applyAlignment="1"/>
    <xf numFmtId="164" fontId="8" fillId="0" borderId="0" xfId="3" applyFont="1" applyFill="1" applyAlignment="1">
      <alignment horizontal="right"/>
    </xf>
    <xf numFmtId="164" fontId="8" fillId="0" borderId="0" xfId="3" applyFont="1" applyFill="1" applyAlignment="1"/>
    <xf numFmtId="164" fontId="8" fillId="0" borderId="0" xfId="3" applyFont="1" applyFill="1" applyAlignment="1">
      <alignment horizontal="justify"/>
    </xf>
    <xf numFmtId="164" fontId="21" fillId="0" borderId="0" xfId="3" applyFont="1" applyFill="1" applyAlignment="1"/>
    <xf numFmtId="164" fontId="8" fillId="0" borderId="15" xfId="3" applyFont="1" applyFill="1" applyBorder="1" applyAlignment="1">
      <alignment horizontal="center"/>
    </xf>
    <xf numFmtId="164" fontId="9" fillId="0" borderId="16" xfId="3" applyFont="1" applyFill="1" applyBorder="1" applyAlignment="1">
      <alignment horizontal="center" vertical="top" wrapText="1"/>
    </xf>
    <xf numFmtId="164" fontId="9" fillId="0" borderId="17" xfId="3" applyFont="1" applyFill="1" applyBorder="1" applyAlignment="1">
      <alignment horizontal="center" vertical="top" wrapText="1"/>
    </xf>
    <xf numFmtId="164" fontId="9" fillId="0" borderId="18" xfId="3" applyFont="1" applyFill="1" applyBorder="1" applyAlignment="1">
      <alignment horizontal="center" vertical="top" wrapText="1"/>
    </xf>
    <xf numFmtId="164" fontId="9" fillId="0" borderId="19" xfId="3" applyFont="1" applyFill="1" applyBorder="1" applyAlignment="1">
      <alignment horizontal="center" vertical="top" wrapText="1"/>
    </xf>
    <xf numFmtId="164" fontId="9" fillId="0" borderId="10" xfId="3" applyFont="1" applyFill="1" applyBorder="1" applyAlignment="1">
      <alignment horizontal="center" vertical="top" wrapText="1"/>
    </xf>
    <xf numFmtId="164" fontId="2" fillId="0" borderId="3" xfId="3" applyFont="1" applyFill="1" applyBorder="1" applyAlignment="1">
      <alignment vertical="top" wrapText="1"/>
    </xf>
    <xf numFmtId="164" fontId="9" fillId="0" borderId="20" xfId="3" applyFont="1" applyFill="1" applyBorder="1" applyAlignment="1">
      <alignment horizontal="center" vertical="top" wrapText="1"/>
    </xf>
    <xf numFmtId="164" fontId="8" fillId="5" borderId="5" xfId="3" applyFont="1" applyFill="1" applyBorder="1" applyAlignment="1">
      <alignment vertical="top" wrapText="1"/>
    </xf>
    <xf numFmtId="164" fontId="22" fillId="5" borderId="19" xfId="3" applyFont="1" applyFill="1" applyBorder="1" applyAlignment="1">
      <alignment horizontal="right" vertical="top" wrapText="1"/>
    </xf>
    <xf numFmtId="164" fontId="22" fillId="5" borderId="10" xfId="3" applyFont="1" applyFill="1" applyBorder="1" applyAlignment="1">
      <alignment horizontal="right" vertical="top" wrapText="1"/>
    </xf>
    <xf numFmtId="164" fontId="9" fillId="0" borderId="5" xfId="3" applyFont="1" applyFill="1" applyBorder="1" applyAlignment="1">
      <alignment vertical="top" wrapText="1"/>
    </xf>
    <xf numFmtId="164" fontId="23" fillId="0" borderId="19" xfId="3" applyFont="1" applyFill="1" applyBorder="1" applyAlignment="1">
      <alignment horizontal="right" vertical="top" wrapText="1"/>
    </xf>
    <xf numFmtId="164" fontId="23" fillId="0" borderId="10" xfId="3" applyFont="1" applyFill="1" applyBorder="1" applyAlignment="1">
      <alignment horizontal="right" vertical="top" wrapText="1"/>
    </xf>
    <xf numFmtId="164" fontId="23" fillId="0" borderId="7" xfId="3" applyFont="1" applyFill="1" applyBorder="1" applyAlignment="1">
      <alignment horizontal="right" vertical="top" wrapText="1"/>
    </xf>
    <xf numFmtId="164" fontId="22" fillId="5" borderId="7" xfId="3" applyFont="1" applyFill="1" applyBorder="1" applyAlignment="1">
      <alignment horizontal="right" vertical="top" wrapText="1"/>
    </xf>
    <xf numFmtId="164" fontId="9" fillId="0" borderId="0" xfId="3" applyFont="1" applyFill="1" applyAlignment="1">
      <alignment vertical="top" wrapText="1"/>
    </xf>
    <xf numFmtId="49" fontId="0" fillId="0" borderId="0" xfId="0" applyNumberFormat="1" applyAlignment="1">
      <alignment wrapText="1"/>
    </xf>
    <xf numFmtId="3" fontId="2" fillId="0" borderId="0" xfId="0" applyNumberFormat="1" applyFont="1"/>
    <xf numFmtId="164" fontId="6" fillId="0" borderId="0" xfId="3" applyFont="1" applyFill="1" applyAlignment="1">
      <alignment horizontal="center"/>
    </xf>
    <xf numFmtId="0" fontId="0" fillId="0" borderId="0" xfId="0"/>
    <xf numFmtId="164" fontId="2" fillId="0" borderId="21" xfId="3" applyFont="1" applyFill="1" applyBorder="1" applyAlignment="1"/>
    <xf numFmtId="167" fontId="2" fillId="0" borderId="21" xfId="1" applyNumberFormat="1" applyFont="1" applyFill="1" applyBorder="1" applyAlignment="1"/>
    <xf numFmtId="167" fontId="2" fillId="0" borderId="21" xfId="1" applyNumberFormat="1" applyFont="1" applyFill="1" applyBorder="1" applyAlignment="1">
      <alignment horizontal="right"/>
    </xf>
    <xf numFmtId="164" fontId="2" fillId="0" borderId="7" xfId="3" applyFont="1" applyFill="1" applyBorder="1" applyAlignment="1"/>
    <xf numFmtId="167" fontId="2" fillId="0" borderId="22" xfId="1" applyNumberFormat="1" applyFont="1" applyFill="1" applyBorder="1" applyAlignment="1"/>
    <xf numFmtId="0" fontId="15" fillId="0" borderId="0" xfId="0" applyFont="1" applyAlignment="1">
      <alignment wrapText="1"/>
    </xf>
    <xf numFmtId="165" fontId="10" fillId="0" borderId="0" xfId="3" applyNumberFormat="1" applyFont="1" applyFill="1" applyAlignment="1"/>
    <xf numFmtId="0" fontId="0" fillId="0" borderId="0" xfId="0" applyFill="1"/>
    <xf numFmtId="164" fontId="2" fillId="0" borderId="7" xfId="3" applyFont="1" applyFill="1" applyBorder="1" applyAlignment="1">
      <alignment wrapText="1"/>
    </xf>
    <xf numFmtId="166" fontId="20" fillId="0" borderId="7" xfId="3" applyNumberFormat="1" applyFont="1" applyFill="1" applyBorder="1" applyAlignment="1"/>
    <xf numFmtId="164" fontId="2" fillId="0" borderId="21" xfId="3" applyFont="1" applyFill="1" applyBorder="1" applyAlignment="1">
      <alignment wrapText="1"/>
    </xf>
    <xf numFmtId="166" fontId="20" fillId="0" borderId="21" xfId="3" applyNumberFormat="1" applyFont="1" applyFill="1" applyBorder="1" applyAlignment="1"/>
    <xf numFmtId="164" fontId="9" fillId="0" borderId="0" xfId="3" applyFont="1" applyFill="1" applyAlignme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wrapText="1"/>
    </xf>
    <xf numFmtId="0" fontId="24" fillId="0" borderId="23" xfId="0" applyFont="1" applyBorder="1"/>
    <xf numFmtId="0" fontId="24" fillId="0" borderId="21" xfId="0" applyFont="1" applyBorder="1"/>
    <xf numFmtId="3" fontId="24" fillId="0" borderId="21" xfId="0" applyNumberFormat="1" applyFont="1" applyBorder="1" applyAlignment="1">
      <alignment horizontal="right"/>
    </xf>
    <xf numFmtId="3" fontId="24" fillId="0" borderId="24" xfId="0" applyNumberFormat="1" applyFont="1" applyBorder="1"/>
    <xf numFmtId="3" fontId="24" fillId="0" borderId="21" xfId="0" applyNumberFormat="1" applyFont="1" applyBorder="1"/>
    <xf numFmtId="0" fontId="24" fillId="0" borderId="25" xfId="0" applyFont="1" applyBorder="1"/>
    <xf numFmtId="0" fontId="24" fillId="0" borderId="22" xfId="0" applyFont="1" applyBorder="1"/>
    <xf numFmtId="3" fontId="24" fillId="0" borderId="22" xfId="0" applyNumberFormat="1" applyFont="1" applyBorder="1"/>
    <xf numFmtId="3" fontId="24" fillId="0" borderId="26" xfId="0" applyNumberFormat="1" applyFont="1" applyBorder="1"/>
    <xf numFmtId="0" fontId="24" fillId="0" borderId="21" xfId="0" applyFont="1" applyBorder="1" applyAlignment="1">
      <alignment horizontal="right"/>
    </xf>
    <xf numFmtId="0" fontId="24" fillId="0" borderId="0" xfId="0" applyFont="1" applyBorder="1"/>
    <xf numFmtId="3" fontId="25" fillId="0" borderId="0" xfId="0" applyNumberFormat="1" applyFont="1" applyBorder="1"/>
    <xf numFmtId="167" fontId="8" fillId="0" borderId="0" xfId="1" applyNumberFormat="1" applyFont="1" applyFill="1" applyAlignment="1"/>
    <xf numFmtId="0" fontId="24" fillId="0" borderId="27" xfId="0" applyFont="1" applyBorder="1"/>
    <xf numFmtId="3" fontId="25" fillId="0" borderId="27" xfId="0" applyNumberFormat="1" applyFont="1" applyBorder="1"/>
    <xf numFmtId="0" fontId="25" fillId="0" borderId="27" xfId="0" applyFont="1" applyBorder="1"/>
    <xf numFmtId="0" fontId="25" fillId="0" borderId="0" xfId="0" applyFont="1" applyBorder="1"/>
    <xf numFmtId="164" fontId="8" fillId="0" borderId="0" xfId="3" applyFont="1" applyFill="1" applyBorder="1" applyAlignment="1">
      <alignment horizontal="center"/>
    </xf>
    <xf numFmtId="164" fontId="23" fillId="0" borderId="28" xfId="3" applyFont="1" applyFill="1" applyBorder="1" applyAlignment="1">
      <alignment horizontal="right" vertical="top" wrapText="1"/>
    </xf>
    <xf numFmtId="164" fontId="22" fillId="5" borderId="28" xfId="3" applyFont="1" applyFill="1" applyBorder="1" applyAlignment="1">
      <alignment horizontal="right" vertical="top" wrapText="1"/>
    </xf>
    <xf numFmtId="164" fontId="6" fillId="0" borderId="0" xfId="3" applyFont="1" applyFill="1" applyAlignment="1">
      <alignment horizontal="center"/>
    </xf>
    <xf numFmtId="0" fontId="0" fillId="0" borderId="0" xfId="0"/>
    <xf numFmtId="164" fontId="10" fillId="0" borderId="0" xfId="3" applyFont="1" applyFill="1" applyAlignment="1">
      <alignment horizontal="center"/>
    </xf>
    <xf numFmtId="164" fontId="6" fillId="0" borderId="0" xfId="3" applyFont="1" applyFill="1" applyAlignment="1">
      <alignment horizontal="center"/>
    </xf>
    <xf numFmtId="0" fontId="0" fillId="0" borderId="0" xfId="0"/>
    <xf numFmtId="164" fontId="10" fillId="0" borderId="0" xfId="3" applyFont="1" applyFill="1" applyAlignment="1">
      <alignment horizontal="center"/>
    </xf>
    <xf numFmtId="1" fontId="2" fillId="0" borderId="21" xfId="1" applyNumberFormat="1" applyFont="1" applyFill="1" applyBorder="1" applyAlignment="1"/>
    <xf numFmtId="166" fontId="13" fillId="0" borderId="0" xfId="3" applyNumberFormat="1" applyFont="1" applyFill="1" applyBorder="1" applyAlignment="1"/>
    <xf numFmtId="166" fontId="13" fillId="0" borderId="13" xfId="3" applyNumberFormat="1" applyFont="1" applyFill="1" applyBorder="1" applyAlignment="1"/>
    <xf numFmtId="166" fontId="13" fillId="0" borderId="21" xfId="3" applyNumberFormat="1" applyFont="1" applyFill="1" applyBorder="1" applyAlignment="1"/>
    <xf numFmtId="166" fontId="12" fillId="0" borderId="21" xfId="3" applyNumberFormat="1" applyFont="1" applyFill="1" applyBorder="1" applyAlignment="1"/>
    <xf numFmtId="166" fontId="12" fillId="7" borderId="21" xfId="3" applyNumberFormat="1" applyFont="1" applyFill="1" applyBorder="1" applyAlignment="1"/>
    <xf numFmtId="167" fontId="2" fillId="0" borderId="29" xfId="1" applyNumberFormat="1" applyFont="1" applyFill="1" applyBorder="1" applyAlignment="1">
      <alignment horizontal="center"/>
    </xf>
    <xf numFmtId="0" fontId="0" fillId="0" borderId="0" xfId="0"/>
    <xf numFmtId="164" fontId="11" fillId="2" borderId="0" xfId="3" applyFont="1" applyFill="1" applyBorder="1" applyAlignment="1">
      <alignment horizontal="center" wrapText="1"/>
    </xf>
    <xf numFmtId="167" fontId="2" fillId="0" borderId="0" xfId="1" applyNumberFormat="1" applyFont="1" applyFill="1" applyBorder="1" applyAlignment="1">
      <alignment horizontal="center"/>
    </xf>
    <xf numFmtId="167" fontId="2" fillId="0" borderId="0" xfId="1" applyNumberFormat="1" applyFont="1" applyFill="1" applyBorder="1" applyAlignment="1"/>
    <xf numFmtId="164" fontId="2" fillId="0" borderId="13" xfId="3" applyFont="1" applyFill="1" applyBorder="1" applyAlignment="1">
      <alignment wrapText="1"/>
    </xf>
    <xf numFmtId="164" fontId="2" fillId="0" borderId="22" xfId="3" applyFont="1" applyFill="1" applyBorder="1" applyAlignment="1">
      <alignment wrapText="1"/>
    </xf>
    <xf numFmtId="166" fontId="20" fillId="0" borderId="22" xfId="3" applyNumberFormat="1" applyFont="1" applyFill="1" applyBorder="1" applyAlignment="1"/>
    <xf numFmtId="1" fontId="2" fillId="0" borderId="0" xfId="3" applyNumberFormat="1" applyFont="1" applyFill="1" applyAlignment="1"/>
    <xf numFmtId="2" fontId="24" fillId="0" borderId="21" xfId="0" applyNumberFormat="1" applyFont="1" applyBorder="1"/>
    <xf numFmtId="166" fontId="12" fillId="3" borderId="13" xfId="3" applyNumberFormat="1" applyFont="1" applyFill="1" applyBorder="1" applyAlignment="1"/>
    <xf numFmtId="0" fontId="0" fillId="0" borderId="0" xfId="0"/>
    <xf numFmtId="164" fontId="6" fillId="8" borderId="10" xfId="3" applyFont="1" applyFill="1" applyBorder="1" applyAlignment="1">
      <alignment vertical="top" wrapText="1"/>
    </xf>
    <xf numFmtId="164" fontId="6" fillId="0" borderId="0" xfId="3" applyFont="1" applyFill="1" applyAlignment="1">
      <alignment horizontal="center"/>
    </xf>
    <xf numFmtId="164" fontId="7" fillId="0" borderId="0" xfId="3" applyFont="1" applyFill="1" applyAlignment="1">
      <alignment horizontal="center"/>
    </xf>
    <xf numFmtId="164" fontId="8" fillId="0" borderId="0" xfId="3" applyFont="1" applyFill="1" applyAlignment="1">
      <alignment horizontal="center"/>
    </xf>
    <xf numFmtId="0" fontId="0" fillId="0" borderId="0" xfId="0"/>
    <xf numFmtId="164" fontId="10" fillId="0" borderId="0" xfId="3" applyFont="1" applyFill="1" applyAlignment="1">
      <alignment horizontal="center"/>
    </xf>
    <xf numFmtId="164" fontId="11" fillId="2" borderId="6" xfId="3" applyFont="1" applyFill="1" applyBorder="1" applyAlignment="1">
      <alignment horizontal="center" wrapText="1"/>
    </xf>
    <xf numFmtId="167" fontId="2" fillId="0" borderId="22" xfId="1" applyNumberFormat="1" applyFont="1" applyFill="1" applyBorder="1" applyAlignment="1">
      <alignment horizontal="center"/>
    </xf>
    <xf numFmtId="167" fontId="2" fillId="0" borderId="29" xfId="1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64" fontId="2" fillId="0" borderId="0" xfId="3" applyFont="1" applyFill="1" applyAlignment="1">
      <alignment horizontal="center"/>
    </xf>
    <xf numFmtId="164" fontId="8" fillId="0" borderId="0" xfId="3" applyFont="1" applyFill="1" applyAlignment="1">
      <alignment horizontal="center" wrapText="1"/>
    </xf>
    <xf numFmtId="0" fontId="9" fillId="0" borderId="0" xfId="0" applyFont="1" applyAlignment="1">
      <alignment horizontal="right"/>
    </xf>
    <xf numFmtId="0" fontId="24" fillId="0" borderId="30" xfId="0" applyFont="1" applyBorder="1" applyAlignment="1">
      <alignment horizontal="left" wrapText="1"/>
    </xf>
    <xf numFmtId="0" fontId="24" fillId="0" borderId="31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</cellXfs>
  <cellStyles count="12">
    <cellStyle name="Excel Built-in Comma" xfId="2"/>
    <cellStyle name="Excel Built-in Normal" xfId="3"/>
    <cellStyle name="Ezres" xfId="1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3IQVGSZ2\2015%20%20normat&#237;va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>
        <row r="24">
          <cell r="E24">
            <v>317527500</v>
          </cell>
        </row>
        <row r="25">
          <cell r="E25">
            <v>86295000</v>
          </cell>
        </row>
        <row r="64">
          <cell r="E64">
            <v>190900000</v>
          </cell>
        </row>
        <row r="65">
          <cell r="E65">
            <v>850000</v>
          </cell>
        </row>
        <row r="82">
          <cell r="D82">
            <v>25576320</v>
          </cell>
        </row>
        <row r="83">
          <cell r="D83">
            <v>35815000</v>
          </cell>
        </row>
        <row r="84">
          <cell r="D84">
            <v>6376500</v>
          </cell>
        </row>
        <row r="85">
          <cell r="D85">
            <v>6600000</v>
          </cell>
        </row>
        <row r="86">
          <cell r="D86">
            <v>3740000</v>
          </cell>
        </row>
        <row r="87">
          <cell r="D87">
            <v>13750000</v>
          </cell>
        </row>
        <row r="88">
          <cell r="D88">
            <v>8903520</v>
          </cell>
        </row>
        <row r="89">
          <cell r="D89">
            <v>20607400</v>
          </cell>
        </row>
        <row r="90">
          <cell r="D90">
            <v>82898132</v>
          </cell>
        </row>
        <row r="91">
          <cell r="D91">
            <v>19795000</v>
          </cell>
        </row>
        <row r="92">
          <cell r="D92">
            <v>224061872</v>
          </cell>
        </row>
        <row r="95">
          <cell r="D95">
            <v>10091000</v>
          </cell>
        </row>
        <row r="96">
          <cell r="D96">
            <v>17000000</v>
          </cell>
        </row>
        <row r="97">
          <cell r="D97">
            <v>210840000</v>
          </cell>
        </row>
        <row r="98">
          <cell r="D98">
            <v>0</v>
          </cell>
        </row>
        <row r="99">
          <cell r="D99">
            <v>18918803</v>
          </cell>
        </row>
        <row r="102">
          <cell r="D102">
            <v>114660825</v>
          </cell>
        </row>
        <row r="104">
          <cell r="D104">
            <v>8608467</v>
          </cell>
        </row>
        <row r="105">
          <cell r="D105">
            <v>93047238</v>
          </cell>
        </row>
      </sheetData>
      <sheetData sheetId="1" refreshError="1">
        <row r="24">
          <cell r="E24">
            <v>100941313</v>
          </cell>
        </row>
        <row r="25">
          <cell r="E25">
            <v>26962000</v>
          </cell>
        </row>
        <row r="64">
          <cell r="E64">
            <v>26150000</v>
          </cell>
        </row>
        <row r="65">
          <cell r="E65">
            <v>420000</v>
          </cell>
        </row>
        <row r="89">
          <cell r="D89">
            <v>93054228</v>
          </cell>
        </row>
        <row r="92">
          <cell r="D92">
            <v>2900000</v>
          </cell>
        </row>
        <row r="93">
          <cell r="D93">
            <v>700000</v>
          </cell>
        </row>
        <row r="94">
          <cell r="D94">
            <v>4228284</v>
          </cell>
        </row>
        <row r="98">
          <cell r="D98">
            <v>53590801</v>
          </cell>
        </row>
        <row r="99">
          <cell r="D99">
            <v>4146216</v>
          </cell>
        </row>
        <row r="100">
          <cell r="D100">
            <v>49444585</v>
          </cell>
        </row>
      </sheetData>
      <sheetData sheetId="2" refreshError="1">
        <row r="8">
          <cell r="E8">
            <v>500000</v>
          </cell>
        </row>
        <row r="12">
          <cell r="E12">
            <v>256000</v>
          </cell>
        </row>
        <row r="20">
          <cell r="E20">
            <v>11810000</v>
          </cell>
        </row>
        <row r="24">
          <cell r="E24">
            <v>1840000</v>
          </cell>
        </row>
        <row r="25">
          <cell r="E25">
            <v>6340000</v>
          </cell>
        </row>
        <row r="26">
          <cell r="E26">
            <v>26447957.899999999</v>
          </cell>
        </row>
        <row r="32">
          <cell r="E32">
            <v>6616999.5499999998</v>
          </cell>
        </row>
        <row r="33">
          <cell r="E33">
            <v>6094000.3499999996</v>
          </cell>
        </row>
        <row r="36">
          <cell r="E36">
            <v>1800000</v>
          </cell>
        </row>
        <row r="52">
          <cell r="E52">
            <v>317116100</v>
          </cell>
        </row>
        <row r="53">
          <cell r="E53">
            <v>142491823</v>
          </cell>
        </row>
        <row r="54">
          <cell r="E54">
            <v>49444585</v>
          </cell>
        </row>
        <row r="55">
          <cell r="E55">
            <v>93047238</v>
          </cell>
        </row>
        <row r="56">
          <cell r="E56">
            <v>27076010</v>
          </cell>
        </row>
        <row r="63">
          <cell r="E63">
            <v>19019760</v>
          </cell>
        </row>
        <row r="64">
          <cell r="G64">
            <v>15391000</v>
          </cell>
        </row>
        <row r="65">
          <cell r="G65">
            <v>1539100</v>
          </cell>
        </row>
        <row r="66">
          <cell r="G66">
            <v>7695500</v>
          </cell>
        </row>
        <row r="67">
          <cell r="G67">
            <v>769550</v>
          </cell>
        </row>
        <row r="68">
          <cell r="G68">
            <v>7695500</v>
          </cell>
        </row>
        <row r="71">
          <cell r="E71">
            <v>10091000</v>
          </cell>
        </row>
        <row r="72">
          <cell r="E72">
            <v>16726991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1 (2)"/>
    </sheetNames>
    <sheetDataSet>
      <sheetData sheetId="0" refreshError="1">
        <row r="6">
          <cell r="E6">
            <v>20547110</v>
          </cell>
        </row>
        <row r="18">
          <cell r="E18">
            <v>25941696</v>
          </cell>
        </row>
        <row r="19">
          <cell r="E19">
            <v>36192000</v>
          </cell>
        </row>
        <row r="20">
          <cell r="E20">
            <v>6213000</v>
          </cell>
        </row>
        <row r="21">
          <cell r="E21">
            <v>6050000</v>
          </cell>
        </row>
        <row r="22">
          <cell r="E22">
            <v>3520000</v>
          </cell>
        </row>
        <row r="23">
          <cell r="E23">
            <v>15400000</v>
          </cell>
        </row>
        <row r="24">
          <cell r="E24">
            <v>8903520</v>
          </cell>
        </row>
        <row r="25">
          <cell r="E25">
            <v>20607400</v>
          </cell>
        </row>
        <row r="26">
          <cell r="E26">
            <v>83393280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>
        <row r="6">
          <cell r="C6">
            <v>1000000</v>
          </cell>
        </row>
        <row r="16">
          <cell r="C16">
            <v>10091000</v>
          </cell>
        </row>
        <row r="21">
          <cell r="C21">
            <v>3600000</v>
          </cell>
        </row>
        <row r="44">
          <cell r="C44">
            <v>10091000</v>
          </cell>
        </row>
      </sheetData>
      <sheetData sheetId="1" refreshError="1">
        <row r="9">
          <cell r="D9">
            <v>286274</v>
          </cell>
        </row>
        <row r="26">
          <cell r="D26">
            <v>12615</v>
          </cell>
        </row>
        <row r="27">
          <cell r="D27">
            <v>72513</v>
          </cell>
        </row>
        <row r="28">
          <cell r="D28">
            <v>3681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opLeftCell="A10" workbookViewId="0">
      <selection activeCell="B24" sqref="B24"/>
    </sheetView>
  </sheetViews>
  <sheetFormatPr defaultRowHeight="15" x14ac:dyDescent="0.25"/>
  <cols>
    <col min="1" max="1" width="38.375" style="1" customWidth="1"/>
    <col min="2" max="2" width="39.5" style="1" customWidth="1"/>
    <col min="3" max="1024" width="8.75" style="1" customWidth="1"/>
    <col min="1025" max="1025" width="9" customWidth="1"/>
  </cols>
  <sheetData>
    <row r="1" spans="1:1024" x14ac:dyDescent="0.25">
      <c r="B1" s="2" t="s">
        <v>0</v>
      </c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161" t="s">
        <v>1</v>
      </c>
      <c r="B5" s="161"/>
      <c r="C5" s="2"/>
    </row>
    <row r="6" spans="1:1024" x14ac:dyDescent="0.25">
      <c r="A6" s="161" t="s">
        <v>238</v>
      </c>
      <c r="B6" s="161"/>
    </row>
    <row r="7" spans="1:1024" x14ac:dyDescent="0.25">
      <c r="A7" s="2"/>
    </row>
    <row r="8" spans="1:1024" x14ac:dyDescent="0.25">
      <c r="A8" s="2"/>
    </row>
    <row r="11" spans="1:1024" x14ac:dyDescent="0.25">
      <c r="A11" s="161" t="s">
        <v>2</v>
      </c>
      <c r="B11" s="161"/>
    </row>
    <row r="12" spans="1:1024" x14ac:dyDescent="0.25">
      <c r="A12" s="161" t="s">
        <v>260</v>
      </c>
      <c r="B12" s="161"/>
    </row>
    <row r="13" spans="1:1024" s="98" customFormat="1" x14ac:dyDescent="0.25">
      <c r="A13" s="97"/>
      <c r="B13" s="9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ht="15.75" x14ac:dyDescent="0.25">
      <c r="A14" s="162" t="s">
        <v>3</v>
      </c>
      <c r="B14" s="162"/>
    </row>
    <row r="15" spans="1:1024" ht="15.75" x14ac:dyDescent="0.25">
      <c r="A15" s="163" t="s">
        <v>4</v>
      </c>
      <c r="B15" s="163"/>
    </row>
    <row r="16" spans="1:1024" ht="15.75" x14ac:dyDescent="0.25">
      <c r="A16" s="4"/>
      <c r="B16" s="4"/>
    </row>
    <row r="17" spans="1:2" ht="15.75" x14ac:dyDescent="0.25">
      <c r="A17" s="4"/>
      <c r="B17" s="4"/>
    </row>
    <row r="18" spans="1:2" ht="15.75" x14ac:dyDescent="0.25">
      <c r="A18" s="4"/>
    </row>
    <row r="19" spans="1:2" ht="16.5" thickBot="1" x14ac:dyDescent="0.3">
      <c r="A19" s="4"/>
    </row>
    <row r="20" spans="1:2" ht="17.25" thickTop="1" thickBot="1" x14ac:dyDescent="0.3">
      <c r="A20" s="5" t="s">
        <v>5</v>
      </c>
      <c r="B20" s="6" t="s">
        <v>6</v>
      </c>
    </row>
    <row r="21" spans="1:2" ht="48" customHeight="1" thickTop="1" thickBot="1" x14ac:dyDescent="0.3">
      <c r="A21" s="7" t="s">
        <v>7</v>
      </c>
      <c r="B21" s="8" t="s">
        <v>8</v>
      </c>
    </row>
    <row r="22" spans="1:2" ht="48" customHeight="1" thickTop="1" thickBot="1" x14ac:dyDescent="0.3">
      <c r="A22" s="7" t="s">
        <v>9</v>
      </c>
      <c r="B22" s="9" t="s">
        <v>10</v>
      </c>
    </row>
    <row r="23" spans="1:2" ht="48" customHeight="1" thickTop="1" thickBot="1" x14ac:dyDescent="0.3">
      <c r="A23" s="10" t="s">
        <v>11</v>
      </c>
      <c r="B23" s="9" t="s">
        <v>262</v>
      </c>
    </row>
    <row r="24" spans="1:2" ht="16.5" thickTop="1" x14ac:dyDescent="0.25">
      <c r="A24" s="11"/>
    </row>
    <row r="25" spans="1:2" ht="15.75" x14ac:dyDescent="0.25">
      <c r="A25" s="11"/>
    </row>
  </sheetData>
  <mergeCells count="6">
    <mergeCell ref="A5:B5"/>
    <mergeCell ref="A6:B6"/>
    <mergeCell ref="A11:B11"/>
    <mergeCell ref="A14:B14"/>
    <mergeCell ref="A15:B15"/>
    <mergeCell ref="A12:B12"/>
  </mergeCells>
  <pageMargins left="1.24015748031496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42"/>
  <sheetViews>
    <sheetView topLeftCell="A16" workbookViewId="0">
      <selection activeCell="C32" sqref="C32"/>
    </sheetView>
  </sheetViews>
  <sheetFormatPr defaultRowHeight="15" x14ac:dyDescent="0.25"/>
  <cols>
    <col min="1" max="1" width="52.75" style="1" customWidth="1"/>
    <col min="2" max="2" width="17.875" style="1" customWidth="1"/>
    <col min="3" max="5" width="16.625" style="1" customWidth="1"/>
    <col min="6" max="1026" width="8.75" style="1" customWidth="1"/>
    <col min="1027" max="1027" width="9" customWidth="1"/>
  </cols>
  <sheetData>
    <row r="1" spans="1:6" x14ac:dyDescent="0.25">
      <c r="B1" s="161" t="s">
        <v>12</v>
      </c>
      <c r="C1" s="161"/>
      <c r="D1" s="3"/>
      <c r="E1" s="3"/>
    </row>
    <row r="2" spans="1:6" x14ac:dyDescent="0.25">
      <c r="B2" s="2"/>
    </row>
    <row r="3" spans="1:6" x14ac:dyDescent="0.25">
      <c r="A3" s="161" t="s">
        <v>1</v>
      </c>
      <c r="B3" s="161"/>
      <c r="C3" s="161"/>
      <c r="D3" s="3"/>
      <c r="E3" s="3"/>
    </row>
    <row r="4" spans="1:6" x14ac:dyDescent="0.25">
      <c r="A4" s="161" t="s">
        <v>238</v>
      </c>
      <c r="B4" s="161"/>
      <c r="C4" s="161"/>
      <c r="D4" s="3"/>
      <c r="E4" s="3"/>
    </row>
    <row r="5" spans="1:6" ht="15.75" x14ac:dyDescent="0.25">
      <c r="A5" s="165" t="s">
        <v>13</v>
      </c>
      <c r="B5" s="165"/>
      <c r="C5" s="165"/>
      <c r="D5" s="12"/>
      <c r="E5" s="12"/>
    </row>
    <row r="6" spans="1:6" ht="15.75" x14ac:dyDescent="0.25">
      <c r="A6" s="165" t="s">
        <v>14</v>
      </c>
      <c r="B6" s="165"/>
      <c r="C6" s="165"/>
      <c r="D6" s="12"/>
      <c r="E6" s="12"/>
    </row>
    <row r="7" spans="1:6" ht="15.75" x14ac:dyDescent="0.25">
      <c r="A7" s="12"/>
      <c r="B7" s="12"/>
      <c r="C7" s="12"/>
      <c r="D7" s="12"/>
      <c r="E7" s="12"/>
    </row>
    <row r="8" spans="1:6" ht="15.75" customHeight="1" x14ac:dyDescent="0.25">
      <c r="A8" s="166" t="s">
        <v>15</v>
      </c>
      <c r="B8" s="166"/>
      <c r="C8" s="166"/>
      <c r="D8" s="13" t="s">
        <v>16</v>
      </c>
      <c r="E8" s="13" t="s">
        <v>17</v>
      </c>
    </row>
    <row r="9" spans="1:6" ht="15.75" x14ac:dyDescent="0.25">
      <c r="A9" s="14" t="s">
        <v>6</v>
      </c>
      <c r="B9" s="14" t="s">
        <v>18</v>
      </c>
      <c r="C9" s="14" t="s">
        <v>18</v>
      </c>
      <c r="D9" s="14" t="s">
        <v>18</v>
      </c>
      <c r="E9" s="14" t="s">
        <v>18</v>
      </c>
      <c r="F9" s="15" t="s">
        <v>19</v>
      </c>
    </row>
    <row r="10" spans="1:6" ht="31.5" x14ac:dyDescent="0.25">
      <c r="A10" s="16"/>
      <c r="B10" s="17" t="s">
        <v>179</v>
      </c>
      <c r="C10" s="17" t="s">
        <v>228</v>
      </c>
      <c r="D10" s="17" t="s">
        <v>228</v>
      </c>
      <c r="E10" s="17" t="s">
        <v>228</v>
      </c>
      <c r="F10" s="18" t="s">
        <v>180</v>
      </c>
    </row>
    <row r="11" spans="1:6" ht="15.75" x14ac:dyDescent="0.25">
      <c r="A11" s="19" t="s">
        <v>20</v>
      </c>
      <c r="B11" s="20">
        <v>385136</v>
      </c>
      <c r="C11" s="20">
        <f>'2B'!C12+'2C'!C12+'2D'!C12</f>
        <v>418968.81299999997</v>
      </c>
      <c r="D11" s="20">
        <f t="shared" ref="D11:D18" si="0">SUM(C11-E11)</f>
        <v>418468.81299999997</v>
      </c>
      <c r="E11" s="20">
        <f>'2D'!C12</f>
        <v>500</v>
      </c>
      <c r="F11" s="21" t="s">
        <v>21</v>
      </c>
    </row>
    <row r="12" spans="1:6" ht="15.75" x14ac:dyDescent="0.25">
      <c r="A12" s="19" t="s">
        <v>22</v>
      </c>
      <c r="B12" s="20">
        <v>102785</v>
      </c>
      <c r="C12" s="20">
        <f>'2B'!C13+'2C'!C13+'2D'!C13</f>
        <v>113513</v>
      </c>
      <c r="D12" s="20">
        <f t="shared" si="0"/>
        <v>113257</v>
      </c>
      <c r="E12" s="20">
        <f>'2D'!C13</f>
        <v>256</v>
      </c>
      <c r="F12" s="21" t="s">
        <v>23</v>
      </c>
    </row>
    <row r="13" spans="1:6" ht="15.75" x14ac:dyDescent="0.25">
      <c r="A13" s="19" t="s">
        <v>24</v>
      </c>
      <c r="B13" s="20">
        <v>220124</v>
      </c>
      <c r="C13" s="20">
        <f>'2B'!C14+'2C'!C14+'2D'!C14</f>
        <v>228860</v>
      </c>
      <c r="D13" s="20">
        <f t="shared" si="0"/>
        <v>227141</v>
      </c>
      <c r="E13" s="20">
        <f>'2D'!C14-10091</f>
        <v>1719</v>
      </c>
      <c r="F13" s="21" t="s">
        <v>25</v>
      </c>
    </row>
    <row r="14" spans="1:6" ht="15.75" x14ac:dyDescent="0.25">
      <c r="A14" s="19" t="s">
        <v>26</v>
      </c>
      <c r="B14" s="20">
        <v>7247</v>
      </c>
      <c r="C14" s="20">
        <f>'2B'!C15+'2C'!C15+'2D'!C15</f>
        <v>7610</v>
      </c>
      <c r="D14" s="20">
        <f t="shared" si="0"/>
        <v>1270</v>
      </c>
      <c r="E14" s="20">
        <f>'2D'!C15</f>
        <v>6340</v>
      </c>
      <c r="F14" s="21" t="s">
        <v>27</v>
      </c>
    </row>
    <row r="15" spans="1:6" ht="30" x14ac:dyDescent="0.25">
      <c r="A15" s="19" t="s">
        <v>28</v>
      </c>
      <c r="B15" s="20">
        <v>2435</v>
      </c>
      <c r="C15" s="20">
        <f>'2D'!C17</f>
        <v>151800</v>
      </c>
      <c r="D15" s="20">
        <f t="shared" si="0"/>
        <v>151800</v>
      </c>
      <c r="E15" s="20">
        <v>0</v>
      </c>
      <c r="F15" s="22" t="s">
        <v>29</v>
      </c>
    </row>
    <row r="16" spans="1:6" ht="15.75" x14ac:dyDescent="0.25">
      <c r="A16" s="19" t="s">
        <v>30</v>
      </c>
      <c r="B16" s="23">
        <v>0</v>
      </c>
      <c r="C16" s="23">
        <v>0</v>
      </c>
      <c r="D16" s="20">
        <f t="shared" si="0"/>
        <v>0</v>
      </c>
      <c r="E16" s="20">
        <v>0</v>
      </c>
      <c r="F16" s="21" t="s">
        <v>31</v>
      </c>
    </row>
    <row r="17" spans="1:6" ht="15.75" x14ac:dyDescent="0.25">
      <c r="A17" s="24" t="s">
        <v>32</v>
      </c>
      <c r="B17" s="26">
        <f>SUM(B11:B16)</f>
        <v>717727</v>
      </c>
      <c r="C17" s="26">
        <f>SUM(C11:C16)</f>
        <v>920751.81299999997</v>
      </c>
      <c r="D17" s="27">
        <f t="shared" si="0"/>
        <v>911936.81299999997</v>
      </c>
      <c r="E17" s="26">
        <f>SUM(E11:E16)</f>
        <v>8815</v>
      </c>
    </row>
    <row r="18" spans="1:6" ht="15.75" x14ac:dyDescent="0.25">
      <c r="A18" s="19" t="s">
        <v>33</v>
      </c>
      <c r="B18" s="29">
        <v>18060</v>
      </c>
      <c r="C18" s="29">
        <f>'2D'!C20</f>
        <v>26447.957899999998</v>
      </c>
      <c r="D18" s="20">
        <f t="shared" si="0"/>
        <v>25400.957899999998</v>
      </c>
      <c r="E18" s="29">
        <v>1047</v>
      </c>
      <c r="F18" s="21" t="s">
        <v>34</v>
      </c>
    </row>
    <row r="19" spans="1:6" ht="15.75" x14ac:dyDescent="0.25">
      <c r="A19" s="19" t="s">
        <v>35</v>
      </c>
      <c r="B19" s="23" t="s">
        <v>36</v>
      </c>
      <c r="C19" s="23" t="s">
        <v>36</v>
      </c>
      <c r="D19" s="30"/>
      <c r="E19" s="20"/>
    </row>
    <row r="20" spans="1:6" ht="15.75" x14ac:dyDescent="0.25">
      <c r="A20" s="31" t="s">
        <v>37</v>
      </c>
      <c r="B20" s="28">
        <f>B17+B18</f>
        <v>735787</v>
      </c>
      <c r="C20" s="28">
        <f>C17+C18</f>
        <v>947199.7709</v>
      </c>
      <c r="D20" s="28">
        <f>SUM(C20-E20)</f>
        <v>937337.7709</v>
      </c>
      <c r="E20" s="28">
        <f>SUM(E17+E18)</f>
        <v>9862</v>
      </c>
    </row>
    <row r="21" spans="1:6" ht="15.75" x14ac:dyDescent="0.25">
      <c r="A21" s="32"/>
      <c r="B21" s="30"/>
      <c r="C21" s="30"/>
      <c r="D21" s="30"/>
      <c r="E21" s="30"/>
    </row>
    <row r="22" spans="1:6" ht="15.75" x14ac:dyDescent="0.25">
      <c r="A22" s="19" t="s">
        <v>38</v>
      </c>
      <c r="B22" s="20">
        <v>200170</v>
      </c>
      <c r="C22" s="20">
        <f>'2B'!C22+'2C'!C22+'2D'!C24</f>
        <v>233922</v>
      </c>
      <c r="D22" s="20">
        <f t="shared" ref="D22:D29" si="1">C22-E22</f>
        <v>233922</v>
      </c>
      <c r="E22" s="20">
        <f>'2D'!C24-10091</f>
        <v>0</v>
      </c>
      <c r="F22" s="21" t="s">
        <v>39</v>
      </c>
    </row>
    <row r="23" spans="1:6" ht="15.75" x14ac:dyDescent="0.25">
      <c r="A23" s="19" t="s">
        <v>40</v>
      </c>
      <c r="B23" s="20">
        <v>0</v>
      </c>
      <c r="C23" s="20">
        <v>0</v>
      </c>
      <c r="D23" s="20">
        <f t="shared" si="1"/>
        <v>0</v>
      </c>
      <c r="E23" s="20">
        <v>0</v>
      </c>
      <c r="F23" s="21"/>
    </row>
    <row r="24" spans="1:6" ht="45" x14ac:dyDescent="0.25">
      <c r="A24" s="19" t="s">
        <v>41</v>
      </c>
      <c r="B24" s="20">
        <v>0</v>
      </c>
      <c r="C24" s="20">
        <v>150000</v>
      </c>
      <c r="D24" s="20">
        <f t="shared" si="1"/>
        <v>0</v>
      </c>
      <c r="E24" s="20">
        <f>'2D'!C26</f>
        <v>150000</v>
      </c>
      <c r="F24" s="22" t="s">
        <v>42</v>
      </c>
    </row>
    <row r="25" spans="1:6" ht="15.75" x14ac:dyDescent="0.25">
      <c r="A25" s="19" t="s">
        <v>43</v>
      </c>
      <c r="B25" s="20">
        <v>0</v>
      </c>
      <c r="C25" s="20">
        <v>0</v>
      </c>
      <c r="D25" s="20">
        <f t="shared" si="1"/>
        <v>0</v>
      </c>
      <c r="E25" s="20">
        <v>0</v>
      </c>
      <c r="F25" s="21"/>
    </row>
    <row r="26" spans="1:6" ht="15.75" x14ac:dyDescent="0.25">
      <c r="A26" s="19" t="s">
        <v>44</v>
      </c>
      <c r="B26" s="20">
        <v>533182</v>
      </c>
      <c r="C26" s="20">
        <f>'2B'!C25+'2C'!C25+'2D'!C28</f>
        <v>523403.69299999997</v>
      </c>
      <c r="D26" s="20">
        <f t="shared" si="1"/>
        <v>513541.69299999997</v>
      </c>
      <c r="E26" s="20">
        <v>9862</v>
      </c>
      <c r="F26" s="21" t="s">
        <v>45</v>
      </c>
    </row>
    <row r="27" spans="1:6" ht="15.75" x14ac:dyDescent="0.25">
      <c r="A27" s="19" t="s">
        <v>46</v>
      </c>
      <c r="B27" s="20">
        <v>321246</v>
      </c>
      <c r="C27" s="20">
        <f>'2D'!C29</f>
        <v>317116.09999999998</v>
      </c>
      <c r="D27" s="20">
        <f t="shared" si="1"/>
        <v>317116.09999999998</v>
      </c>
      <c r="E27" s="20">
        <v>0</v>
      </c>
      <c r="F27" s="21"/>
    </row>
    <row r="28" spans="1:6" ht="15.75" x14ac:dyDescent="0.25">
      <c r="A28" s="19" t="s">
        <v>47</v>
      </c>
      <c r="B28" s="23">
        <v>0</v>
      </c>
      <c r="C28" s="23">
        <v>0</v>
      </c>
      <c r="D28" s="20">
        <f t="shared" si="1"/>
        <v>0</v>
      </c>
      <c r="E28" s="23">
        <v>0</v>
      </c>
      <c r="F28" s="21" t="s">
        <v>48</v>
      </c>
    </row>
    <row r="29" spans="1:6" ht="15.75" x14ac:dyDescent="0.25">
      <c r="A29" s="24" t="s">
        <v>49</v>
      </c>
      <c r="B29" s="26">
        <f>B26+B22</f>
        <v>733352</v>
      </c>
      <c r="C29" s="26">
        <f>C26+C22+C24</f>
        <v>907325.69299999997</v>
      </c>
      <c r="D29" s="33">
        <f t="shared" si="1"/>
        <v>897463.69299999997</v>
      </c>
      <c r="E29" s="158">
        <f>E26+E22</f>
        <v>9862</v>
      </c>
    </row>
    <row r="30" spans="1:6" ht="15.75" x14ac:dyDescent="0.25">
      <c r="A30" s="19" t="s">
        <v>236</v>
      </c>
      <c r="B30" s="23">
        <v>2435</v>
      </c>
      <c r="C30" s="23">
        <f>'2B'!C30+'2C'!C30+'2D'!C33</f>
        <v>39874.078000000001</v>
      </c>
      <c r="D30" s="145">
        <v>39874</v>
      </c>
      <c r="E30" s="145">
        <v>0</v>
      </c>
    </row>
    <row r="31" spans="1:6" ht="15.75" x14ac:dyDescent="0.25">
      <c r="A31" s="19" t="s">
        <v>51</v>
      </c>
      <c r="B31" s="20" t="s">
        <v>36</v>
      </c>
      <c r="C31" s="20" t="s">
        <v>36</v>
      </c>
      <c r="D31" s="30"/>
      <c r="E31" s="30"/>
    </row>
    <row r="32" spans="1:6" ht="15.75" x14ac:dyDescent="0.25">
      <c r="A32" s="34" t="s">
        <v>52</v>
      </c>
      <c r="B32" s="29">
        <f>B29+B30</f>
        <v>735787</v>
      </c>
      <c r="C32" s="29">
        <f>C29+C30</f>
        <v>947199.77099999995</v>
      </c>
      <c r="D32" s="28">
        <f>C32-E32</f>
        <v>937337.77099999995</v>
      </c>
      <c r="E32" s="35">
        <f>E29+E30</f>
        <v>9862</v>
      </c>
    </row>
    <row r="33" spans="1:5" ht="15.75" x14ac:dyDescent="0.25">
      <c r="A33" s="36"/>
      <c r="B33" s="37"/>
      <c r="C33" s="37"/>
      <c r="D33" s="37"/>
      <c r="E33" s="37"/>
    </row>
    <row r="35" spans="1:5" x14ac:dyDescent="0.25">
      <c r="A35" t="s">
        <v>226</v>
      </c>
    </row>
    <row r="36" spans="1:5" x14ac:dyDescent="0.25">
      <c r="B36" s="1" t="s">
        <v>261</v>
      </c>
    </row>
    <row r="37" spans="1:5" x14ac:dyDescent="0.25">
      <c r="A37" s="164"/>
      <c r="B37" s="164"/>
      <c r="C37" s="164"/>
      <c r="D37"/>
      <c r="E37"/>
    </row>
    <row r="38" spans="1:5" x14ac:dyDescent="0.25">
      <c r="B38" s="1" t="s">
        <v>181</v>
      </c>
      <c r="C38" s="1" t="s">
        <v>173</v>
      </c>
      <c r="E38" s="1" t="s">
        <v>178</v>
      </c>
    </row>
    <row r="39" spans="1:5" x14ac:dyDescent="0.25">
      <c r="B39" s="1" t="s">
        <v>174</v>
      </c>
      <c r="C39" s="1" t="s">
        <v>175</v>
      </c>
    </row>
    <row r="40" spans="1:5" x14ac:dyDescent="0.25">
      <c r="B40" s="1" t="s">
        <v>176</v>
      </c>
      <c r="C40" s="1" t="s">
        <v>177</v>
      </c>
    </row>
    <row r="41" spans="1:5" x14ac:dyDescent="0.25">
      <c r="B41" s="1" t="s">
        <v>183</v>
      </c>
      <c r="C41" s="1" t="s">
        <v>182</v>
      </c>
    </row>
    <row r="42" spans="1:5" x14ac:dyDescent="0.25">
      <c r="B42" s="1" t="s">
        <v>174</v>
      </c>
      <c r="C42" s="1" t="s">
        <v>184</v>
      </c>
      <c r="E42" s="1" t="s">
        <v>178</v>
      </c>
    </row>
  </sheetData>
  <mergeCells count="7">
    <mergeCell ref="A37:C37"/>
    <mergeCell ref="B1:C1"/>
    <mergeCell ref="A3:C3"/>
    <mergeCell ref="A4:C4"/>
    <mergeCell ref="A5:C5"/>
    <mergeCell ref="A6:C6"/>
    <mergeCell ref="A8:C8"/>
  </mergeCells>
  <pageMargins left="0.70826771653543308" right="0.70826771653543308" top="1.1417322834645671" bottom="1.1417322834645671" header="0.74803149606299213" footer="0.74803149606299213"/>
  <pageSetup paperSize="9" scale="95" fitToWidth="0" fitToHeight="0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1"/>
  <sheetViews>
    <sheetView topLeftCell="A31" workbookViewId="0">
      <selection activeCell="A56" sqref="A56"/>
    </sheetView>
  </sheetViews>
  <sheetFormatPr defaultRowHeight="15" x14ac:dyDescent="0.25"/>
  <cols>
    <col min="1" max="1" width="48" style="1" customWidth="1"/>
    <col min="2" max="2" width="14.875" style="1" customWidth="1"/>
    <col min="3" max="4" width="16.875" style="1" customWidth="1"/>
    <col min="5" max="1025" width="8.75" style="1" customWidth="1"/>
    <col min="1026" max="1026" width="9" customWidth="1"/>
  </cols>
  <sheetData>
    <row r="1" spans="1:5" x14ac:dyDescent="0.25">
      <c r="B1" s="161" t="s">
        <v>53</v>
      </c>
      <c r="C1" s="161"/>
      <c r="D1" s="136"/>
    </row>
    <row r="2" spans="1:5" x14ac:dyDescent="0.25">
      <c r="B2" s="2"/>
    </row>
    <row r="3" spans="1:5" x14ac:dyDescent="0.25">
      <c r="A3" s="161" t="s">
        <v>1</v>
      </c>
      <c r="B3" s="161"/>
      <c r="C3" s="161"/>
      <c r="D3" s="136"/>
    </row>
    <row r="4" spans="1:5" x14ac:dyDescent="0.25">
      <c r="A4" s="161" t="s">
        <v>238</v>
      </c>
      <c r="B4" s="161"/>
      <c r="C4" s="161"/>
      <c r="D4" s="136"/>
    </row>
    <row r="5" spans="1:5" ht="15.75" x14ac:dyDescent="0.25">
      <c r="A5" s="165" t="s">
        <v>13</v>
      </c>
      <c r="B5" s="165"/>
      <c r="C5" s="165"/>
      <c r="D5" s="138"/>
    </row>
    <row r="6" spans="1:5" ht="15.75" x14ac:dyDescent="0.25">
      <c r="A6" s="165" t="s">
        <v>14</v>
      </c>
      <c r="B6" s="165"/>
      <c r="C6" s="165"/>
      <c r="D6" s="138"/>
    </row>
    <row r="8" spans="1:5" ht="15.75" x14ac:dyDescent="0.25">
      <c r="B8" s="12"/>
      <c r="C8" s="12" t="s">
        <v>54</v>
      </c>
      <c r="D8" s="138"/>
    </row>
    <row r="9" spans="1:5" x14ac:dyDescent="0.25">
      <c r="A9" s="38" t="s">
        <v>55</v>
      </c>
      <c r="B9" s="38"/>
      <c r="C9" s="39"/>
      <c r="D9" s="39"/>
    </row>
    <row r="10" spans="1:5" ht="15.75" x14ac:dyDescent="0.25">
      <c r="A10" s="14" t="s">
        <v>6</v>
      </c>
      <c r="B10" s="40" t="s">
        <v>18</v>
      </c>
      <c r="C10" s="40" t="s">
        <v>18</v>
      </c>
      <c r="D10" s="40" t="s">
        <v>232</v>
      </c>
      <c r="E10" s="15" t="s">
        <v>19</v>
      </c>
    </row>
    <row r="11" spans="1:5" ht="31.5" x14ac:dyDescent="0.25">
      <c r="A11" s="16"/>
      <c r="B11" s="41" t="s">
        <v>179</v>
      </c>
      <c r="C11" s="41" t="s">
        <v>228</v>
      </c>
      <c r="D11" s="41" t="s">
        <v>233</v>
      </c>
      <c r="E11" s="18" t="s">
        <v>180</v>
      </c>
    </row>
    <row r="12" spans="1:5" ht="15.75" x14ac:dyDescent="0.25">
      <c r="A12" s="19" t="s">
        <v>20</v>
      </c>
      <c r="B12" s="23">
        <v>286274</v>
      </c>
      <c r="C12" s="23">
        <f>[1]KESZI!$E$24/1000</f>
        <v>317527.5</v>
      </c>
      <c r="D12" s="23">
        <f>C12-B12</f>
        <v>31253.5</v>
      </c>
      <c r="E12" s="21" t="s">
        <v>21</v>
      </c>
    </row>
    <row r="13" spans="1:5" ht="15.75" x14ac:dyDescent="0.25">
      <c r="A13" s="19" t="s">
        <v>22</v>
      </c>
      <c r="B13" s="23">
        <v>77778</v>
      </c>
      <c r="C13" s="23">
        <f>[1]KESZI!$E$25/1000</f>
        <v>86295</v>
      </c>
      <c r="D13" s="23">
        <f t="shared" ref="D13:D17" si="0">C13-B13</f>
        <v>8517</v>
      </c>
      <c r="E13" s="21" t="s">
        <v>23</v>
      </c>
    </row>
    <row r="14" spans="1:5" ht="15.75" x14ac:dyDescent="0.25">
      <c r="A14" s="19" t="s">
        <v>24</v>
      </c>
      <c r="B14" s="23">
        <v>188626</v>
      </c>
      <c r="C14" s="23">
        <f>[1]KESZI!$E$64/1000</f>
        <v>190900</v>
      </c>
      <c r="D14" s="23">
        <f t="shared" si="0"/>
        <v>2274</v>
      </c>
      <c r="E14" s="21" t="s">
        <v>25</v>
      </c>
    </row>
    <row r="15" spans="1:5" ht="15.75" x14ac:dyDescent="0.25">
      <c r="A15" s="19" t="s">
        <v>26</v>
      </c>
      <c r="B15" s="23">
        <v>700</v>
      </c>
      <c r="C15" s="23">
        <f>[1]KESZI!$E$65/1000</f>
        <v>850</v>
      </c>
      <c r="D15" s="23">
        <f t="shared" si="0"/>
        <v>150</v>
      </c>
      <c r="E15" s="21" t="s">
        <v>27</v>
      </c>
    </row>
    <row r="16" spans="1:5" ht="30" x14ac:dyDescent="0.25">
      <c r="A16" s="19" t="s">
        <v>28</v>
      </c>
      <c r="B16" s="23">
        <v>2435</v>
      </c>
      <c r="C16" s="23">
        <v>0</v>
      </c>
      <c r="D16" s="23">
        <f t="shared" si="0"/>
        <v>-2435</v>
      </c>
      <c r="E16" s="22" t="s">
        <v>29</v>
      </c>
    </row>
    <row r="17" spans="1:5" ht="15.75" x14ac:dyDescent="0.25">
      <c r="A17" s="19" t="s">
        <v>30</v>
      </c>
      <c r="B17" s="23">
        <v>0</v>
      </c>
      <c r="C17" s="23">
        <v>0</v>
      </c>
      <c r="D17" s="23">
        <f t="shared" si="0"/>
        <v>0</v>
      </c>
      <c r="E17" s="21" t="s">
        <v>31</v>
      </c>
    </row>
    <row r="18" spans="1:5" ht="15.75" x14ac:dyDescent="0.25">
      <c r="A18" s="24" t="s">
        <v>32</v>
      </c>
      <c r="B18" s="25">
        <f>SUM(B12:B17)</f>
        <v>555813</v>
      </c>
      <c r="C18" s="25">
        <f>SUM(C12:C17)</f>
        <v>595572.5</v>
      </c>
      <c r="D18" s="25">
        <f t="shared" ref="D18:D20" si="1">SUM(D12:D17)</f>
        <v>39759.5</v>
      </c>
    </row>
    <row r="19" spans="1:5" ht="15.75" x14ac:dyDescent="0.25">
      <c r="A19" s="19" t="s">
        <v>35</v>
      </c>
      <c r="B19" s="20" t="s">
        <v>36</v>
      </c>
      <c r="C19" s="20" t="s">
        <v>36</v>
      </c>
      <c r="D19" s="143"/>
    </row>
    <row r="20" spans="1:5" ht="15.75" x14ac:dyDescent="0.25">
      <c r="A20" s="31" t="s">
        <v>37</v>
      </c>
      <c r="B20" s="28">
        <f>SUM(B18)</f>
        <v>555813</v>
      </c>
      <c r="C20" s="28">
        <f>SUM(C18)</f>
        <v>595572.5</v>
      </c>
      <c r="D20" s="25">
        <f t="shared" si="1"/>
        <v>39748.5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38</v>
      </c>
      <c r="B22" s="23">
        <v>197930</v>
      </c>
      <c r="C22" s="23">
        <f>[1]KESZI!$D$97/1000+[1]KESZI!$D$95/1000</f>
        <v>220931</v>
      </c>
      <c r="D22" s="23">
        <f>C22-B22</f>
        <v>23001</v>
      </c>
      <c r="E22" s="21" t="s">
        <v>39</v>
      </c>
    </row>
    <row r="23" spans="1:5" ht="45" x14ac:dyDescent="0.25">
      <c r="A23" s="19" t="s">
        <v>41</v>
      </c>
      <c r="B23" s="23">
        <v>0</v>
      </c>
      <c r="C23" s="23">
        <v>0</v>
      </c>
      <c r="D23" s="23">
        <f t="shared" ref="D23:D32" si="2">C23-B23</f>
        <v>0</v>
      </c>
      <c r="E23" s="22" t="s">
        <v>42</v>
      </c>
    </row>
    <row r="24" spans="1:5" ht="15.75" x14ac:dyDescent="0.25">
      <c r="A24" s="19" t="s">
        <v>43</v>
      </c>
      <c r="B24" s="23">
        <v>0</v>
      </c>
      <c r="C24" s="23">
        <v>0</v>
      </c>
      <c r="D24" s="23">
        <f t="shared" si="2"/>
        <v>0</v>
      </c>
      <c r="E24" s="21"/>
    </row>
    <row r="25" spans="1:5" ht="15.75" x14ac:dyDescent="0.25">
      <c r="A25" s="19" t="s">
        <v>44</v>
      </c>
      <c r="B25" s="23">
        <v>34693</v>
      </c>
      <c r="C25" s="23">
        <f>[1]KESZI!$D$96/1000+[1]KESZI!$D$98/1000</f>
        <v>17000</v>
      </c>
      <c r="D25" s="23">
        <f t="shared" si="2"/>
        <v>-17693</v>
      </c>
      <c r="E25" s="21" t="s">
        <v>56</v>
      </c>
    </row>
    <row r="26" spans="1:5" ht="15.75" x14ac:dyDescent="0.25">
      <c r="A26" s="19" t="s">
        <v>46</v>
      </c>
      <c r="B26" s="23">
        <v>10091</v>
      </c>
      <c r="C26" s="23">
        <v>10091</v>
      </c>
      <c r="D26" s="23">
        <f t="shared" si="2"/>
        <v>0</v>
      </c>
      <c r="E26" s="21"/>
    </row>
    <row r="27" spans="1:5" ht="15.75" x14ac:dyDescent="0.25">
      <c r="A27" s="19" t="s">
        <v>57</v>
      </c>
      <c r="B27" s="23">
        <v>320755</v>
      </c>
      <c r="C27" s="23">
        <f>[1]KESZI!$D$102/1000+[1]KESZI!$D$92/1000</f>
        <v>338722.69699999999</v>
      </c>
      <c r="D27" s="23">
        <f t="shared" si="2"/>
        <v>17967.696999999986</v>
      </c>
      <c r="E27" s="21" t="s">
        <v>45</v>
      </c>
    </row>
    <row r="28" spans="1:5" ht="15.75" x14ac:dyDescent="0.25">
      <c r="A28" s="19" t="s">
        <v>47</v>
      </c>
      <c r="B28" s="23">
        <v>0</v>
      </c>
      <c r="C28" s="23">
        <v>0</v>
      </c>
      <c r="D28" s="144">
        <f t="shared" si="2"/>
        <v>0</v>
      </c>
      <c r="E28" s="21" t="s">
        <v>48</v>
      </c>
    </row>
    <row r="29" spans="1:5" ht="15.75" x14ac:dyDescent="0.25">
      <c r="A29" s="24" t="s">
        <v>49</v>
      </c>
      <c r="B29" s="25">
        <f>SUM(B28+B27+B25+B23+B22)</f>
        <v>553378</v>
      </c>
      <c r="C29" s="26">
        <f>SUM(C28+C27+C25+C23+C22)</f>
        <v>576653.69699999993</v>
      </c>
      <c r="D29" s="147">
        <f t="shared" si="2"/>
        <v>23275.696999999927</v>
      </c>
    </row>
    <row r="30" spans="1:5" ht="15.75" x14ac:dyDescent="0.25">
      <c r="A30" s="19" t="s">
        <v>236</v>
      </c>
      <c r="B30" s="20">
        <v>2435</v>
      </c>
      <c r="C30" s="23">
        <f>[1]KESZI!$D$99/1000</f>
        <v>18918.803</v>
      </c>
      <c r="D30" s="145">
        <f t="shared" si="2"/>
        <v>16483.803</v>
      </c>
    </row>
    <row r="31" spans="1:5" ht="15.75" x14ac:dyDescent="0.25">
      <c r="A31" s="19" t="s">
        <v>51</v>
      </c>
      <c r="B31" s="20" t="s">
        <v>36</v>
      </c>
      <c r="C31" s="23" t="s">
        <v>36</v>
      </c>
      <c r="D31" s="145"/>
    </row>
    <row r="32" spans="1:5" ht="15.75" x14ac:dyDescent="0.25">
      <c r="A32" s="34" t="s">
        <v>52</v>
      </c>
      <c r="B32" s="28">
        <f>B29+B30</f>
        <v>555813</v>
      </c>
      <c r="C32" s="29">
        <f>C29+C30</f>
        <v>595572.49999999988</v>
      </c>
      <c r="D32" s="146">
        <f t="shared" si="2"/>
        <v>39759.499999999884</v>
      </c>
    </row>
    <row r="35" spans="1:1025" ht="30" x14ac:dyDescent="0.25">
      <c r="A35" s="104" t="s">
        <v>231</v>
      </c>
      <c r="B35" s="2" t="s">
        <v>58</v>
      </c>
    </row>
    <row r="36" spans="1:1025" ht="30" x14ac:dyDescent="0.25">
      <c r="B36" s="2" t="s">
        <v>185</v>
      </c>
      <c r="C36" s="2" t="s">
        <v>227</v>
      </c>
      <c r="D36" s="49" t="s">
        <v>230</v>
      </c>
    </row>
    <row r="37" spans="1:1025" x14ac:dyDescent="0.25">
      <c r="A37" s="43" t="s">
        <v>59</v>
      </c>
      <c r="B37" s="101">
        <f>[2]Munka1!$E$18</f>
        <v>25941696</v>
      </c>
      <c r="C37" s="101">
        <f>[1]KESZI!$D$82</f>
        <v>25576320</v>
      </c>
      <c r="D37" s="101">
        <f>C37-B37</f>
        <v>-365376</v>
      </c>
    </row>
    <row r="38" spans="1:1025" x14ac:dyDescent="0.25">
      <c r="A38" s="43" t="s">
        <v>60</v>
      </c>
      <c r="B38" s="101">
        <f>[2]Munka1!$E$19</f>
        <v>36192000</v>
      </c>
      <c r="C38" s="101">
        <f>[1]KESZI!$D$83</f>
        <v>35815000</v>
      </c>
      <c r="D38" s="101">
        <f t="shared" ref="D38:D47" si="3">C38-B38</f>
        <v>-377000</v>
      </c>
    </row>
    <row r="39" spans="1:1025" x14ac:dyDescent="0.25">
      <c r="A39" s="43" t="s">
        <v>61</v>
      </c>
      <c r="B39" s="101">
        <f>[2]Munka1!$E$20</f>
        <v>6213000</v>
      </c>
      <c r="C39" s="101">
        <f>[1]KESZI!$D$84</f>
        <v>6376500</v>
      </c>
      <c r="D39" s="101">
        <f t="shared" si="3"/>
        <v>163500</v>
      </c>
    </row>
    <row r="40" spans="1:1025" x14ac:dyDescent="0.25">
      <c r="A40" s="44" t="s">
        <v>63</v>
      </c>
      <c r="B40" s="101">
        <f>[2]Munka1!$E$21+[2]Munka1!$E$22+[2]Munka1!$E$23</f>
        <v>24970000</v>
      </c>
      <c r="C40" s="101">
        <f>[1]KESZI!$D$85+[1]KESZI!$D$86+[1]KESZI!$D$87</f>
        <v>24090000</v>
      </c>
      <c r="D40" s="101">
        <f t="shared" si="3"/>
        <v>-880000</v>
      </c>
    </row>
    <row r="41" spans="1:1025" x14ac:dyDescent="0.25">
      <c r="A41" s="43" t="s">
        <v>64</v>
      </c>
      <c r="B41" s="101">
        <f>[2]Munka1!$E$24</f>
        <v>8903520</v>
      </c>
      <c r="C41" s="101">
        <f>[1]KESZI!$D$88</f>
        <v>8903520</v>
      </c>
      <c r="D41" s="101">
        <f t="shared" si="3"/>
        <v>0</v>
      </c>
    </row>
    <row r="42" spans="1:1025" x14ac:dyDescent="0.25">
      <c r="A42" s="43" t="s">
        <v>65</v>
      </c>
      <c r="B42" s="101">
        <f>[2]Munka1!$E$25</f>
        <v>20607400</v>
      </c>
      <c r="C42" s="101">
        <f>[1]KESZI!$D$89</f>
        <v>20607400</v>
      </c>
      <c r="D42" s="101">
        <f t="shared" si="3"/>
        <v>0</v>
      </c>
    </row>
    <row r="43" spans="1:1025" x14ac:dyDescent="0.25">
      <c r="A43" s="43" t="s">
        <v>66</v>
      </c>
      <c r="B43" s="101">
        <f>[2]Munka1!$E$26</f>
        <v>83393280</v>
      </c>
      <c r="C43" s="101">
        <f>[1]KESZI!$D$90</f>
        <v>82898132</v>
      </c>
      <c r="D43" s="101">
        <f t="shared" si="3"/>
        <v>-495148</v>
      </c>
    </row>
    <row r="44" spans="1:1025" x14ac:dyDescent="0.25">
      <c r="A44" s="44" t="s">
        <v>67</v>
      </c>
      <c r="B44" s="101">
        <v>25725104</v>
      </c>
      <c r="C44" s="101">
        <f>[1]KESZI!$D$91</f>
        <v>19795000</v>
      </c>
      <c r="D44" s="101">
        <f t="shared" si="3"/>
        <v>-5930104</v>
      </c>
    </row>
    <row r="45" spans="1:1025" x14ac:dyDescent="0.25">
      <c r="A45" s="21" t="s">
        <v>68</v>
      </c>
      <c r="B45" s="100">
        <f>'[3]KESZI költségvetés'!$D$27*1000</f>
        <v>72513000</v>
      </c>
      <c r="C45" s="100">
        <f>[1]KESZI!$D$105</f>
        <v>93047238</v>
      </c>
      <c r="D45" s="101">
        <f t="shared" si="3"/>
        <v>20534238</v>
      </c>
    </row>
    <row r="46" spans="1:1025" x14ac:dyDescent="0.25">
      <c r="A46" s="102" t="s">
        <v>69</v>
      </c>
      <c r="B46" s="103">
        <f>'[3]KESZI költségvetés'!$D$26*1000</f>
        <v>12615000</v>
      </c>
      <c r="C46" s="103">
        <v>13005120</v>
      </c>
      <c r="D46" s="101">
        <f t="shared" si="3"/>
        <v>390120</v>
      </c>
    </row>
    <row r="47" spans="1:1025" s="98" customFormat="1" x14ac:dyDescent="0.25">
      <c r="A47" s="99" t="s">
        <v>186</v>
      </c>
      <c r="B47" s="100">
        <f>'[3]KESZI költségvetés'!$D$28*1000</f>
        <v>3681000</v>
      </c>
      <c r="C47" s="100">
        <f>[1]KESZI!$D$104</f>
        <v>8608467</v>
      </c>
      <c r="D47" s="101">
        <f t="shared" si="3"/>
        <v>4927467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</row>
    <row r="48" spans="1:1025" s="137" customFormat="1" x14ac:dyDescent="0.25">
      <c r="A48" s="99" t="s">
        <v>229</v>
      </c>
      <c r="B48" s="142">
        <v>0</v>
      </c>
      <c r="C48" s="142">
        <v>0</v>
      </c>
      <c r="D48" s="142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</row>
    <row r="49" spans="1:4" x14ac:dyDescent="0.25">
      <c r="B49" s="45">
        <f>SUM(B37:B47)</f>
        <v>320755000</v>
      </c>
      <c r="C49" s="45">
        <f>SUM(C37:C48)</f>
        <v>338722697</v>
      </c>
      <c r="D49" s="45">
        <f>SUM(D37:D48)</f>
        <v>17967697</v>
      </c>
    </row>
    <row r="51" spans="1:4" x14ac:dyDescent="0.25">
      <c r="A51" s="1" t="s">
        <v>226</v>
      </c>
    </row>
  </sheetData>
  <mergeCells count="5"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topLeftCell="A25" workbookViewId="0">
      <selection activeCell="A9" sqref="A9:C9"/>
    </sheetView>
  </sheetViews>
  <sheetFormatPr defaultRowHeight="15" x14ac:dyDescent="0.25"/>
  <cols>
    <col min="1" max="1" width="53.625" style="1" customWidth="1"/>
    <col min="2" max="2" width="13.875" style="1" customWidth="1"/>
    <col min="3" max="4" width="15" style="1" customWidth="1"/>
    <col min="5" max="1025" width="8.75" style="1" customWidth="1"/>
    <col min="1026" max="1026" width="9" customWidth="1"/>
  </cols>
  <sheetData>
    <row r="1" spans="1:5" x14ac:dyDescent="0.25">
      <c r="B1" s="161" t="s">
        <v>70</v>
      </c>
      <c r="C1" s="161"/>
      <c r="D1" s="139"/>
    </row>
    <row r="2" spans="1:5" x14ac:dyDescent="0.25">
      <c r="B2" s="2"/>
    </row>
    <row r="3" spans="1:5" x14ac:dyDescent="0.25">
      <c r="A3" s="161" t="s">
        <v>1</v>
      </c>
      <c r="B3" s="161"/>
      <c r="C3" s="161"/>
      <c r="D3" s="139"/>
    </row>
    <row r="4" spans="1:5" x14ac:dyDescent="0.25">
      <c r="A4" s="161" t="s">
        <v>238</v>
      </c>
      <c r="B4" s="161"/>
      <c r="C4" s="161"/>
      <c r="D4" s="139"/>
    </row>
    <row r="5" spans="1:5" ht="15.75" x14ac:dyDescent="0.25">
      <c r="A5" s="165" t="s">
        <v>13</v>
      </c>
      <c r="B5" s="165"/>
      <c r="C5" s="165"/>
      <c r="D5" s="141"/>
    </row>
    <row r="6" spans="1:5" ht="15.75" x14ac:dyDescent="0.25">
      <c r="A6" s="165" t="s">
        <v>14</v>
      </c>
      <c r="B6" s="165"/>
      <c r="C6" s="165"/>
      <c r="D6" s="141"/>
    </row>
    <row r="8" spans="1:5" ht="15.75" x14ac:dyDescent="0.25">
      <c r="B8" s="12"/>
      <c r="C8" s="12" t="s">
        <v>54</v>
      </c>
      <c r="D8" s="141"/>
    </row>
    <row r="9" spans="1:5" ht="15.75" customHeight="1" x14ac:dyDescent="0.25">
      <c r="A9" s="166" t="s">
        <v>262</v>
      </c>
      <c r="B9" s="166"/>
      <c r="C9" s="166"/>
      <c r="D9" s="150"/>
    </row>
    <row r="10" spans="1:5" ht="15.75" x14ac:dyDescent="0.25">
      <c r="A10" s="14" t="s">
        <v>6</v>
      </c>
      <c r="B10" s="14" t="s">
        <v>18</v>
      </c>
      <c r="C10" s="14" t="s">
        <v>18</v>
      </c>
      <c r="D10" s="14"/>
      <c r="E10" s="15" t="s">
        <v>19</v>
      </c>
    </row>
    <row r="11" spans="1:5" ht="31.5" x14ac:dyDescent="0.25">
      <c r="A11" s="16"/>
      <c r="B11" s="17" t="s">
        <v>179</v>
      </c>
      <c r="C11" s="17" t="s">
        <v>228</v>
      </c>
      <c r="D11" s="17" t="s">
        <v>239</v>
      </c>
      <c r="E11" s="18" t="s">
        <v>180</v>
      </c>
    </row>
    <row r="12" spans="1:5" ht="15.75" x14ac:dyDescent="0.25">
      <c r="A12" s="19" t="s">
        <v>20</v>
      </c>
      <c r="B12" s="20">
        <v>97862</v>
      </c>
      <c r="C12" s="20">
        <f>[1]KGYCSSZK!$E$24/1000</f>
        <v>100941.31299999999</v>
      </c>
      <c r="D12" s="20">
        <f>C12-B12</f>
        <v>3079.3129999999946</v>
      </c>
      <c r="E12" s="21" t="s">
        <v>21</v>
      </c>
    </row>
    <row r="13" spans="1:5" ht="15.75" x14ac:dyDescent="0.25">
      <c r="A13" s="19" t="s">
        <v>22</v>
      </c>
      <c r="B13" s="20">
        <v>24495</v>
      </c>
      <c r="C13" s="20">
        <f>[1]KGYCSSZK!$E$25/1000</f>
        <v>26962</v>
      </c>
      <c r="D13" s="20">
        <f t="shared" ref="D13:D17" si="0">C13-B13</f>
        <v>2467</v>
      </c>
      <c r="E13" s="21" t="s">
        <v>23</v>
      </c>
    </row>
    <row r="14" spans="1:5" ht="15.75" x14ac:dyDescent="0.25">
      <c r="A14" s="19" t="s">
        <v>24</v>
      </c>
      <c r="B14" s="20">
        <v>18677</v>
      </c>
      <c r="C14" s="20">
        <f>[1]KGYCSSZK!$E$64/1000</f>
        <v>26150</v>
      </c>
      <c r="D14" s="20">
        <f t="shared" si="0"/>
        <v>7473</v>
      </c>
      <c r="E14" s="21" t="s">
        <v>25</v>
      </c>
    </row>
    <row r="15" spans="1:5" ht="15.75" x14ac:dyDescent="0.25">
      <c r="A15" s="19" t="s">
        <v>26</v>
      </c>
      <c r="B15" s="20">
        <v>420</v>
      </c>
      <c r="C15" s="20">
        <f>[1]KGYCSSZK!$E$65/1000</f>
        <v>420</v>
      </c>
      <c r="D15" s="20">
        <f t="shared" si="0"/>
        <v>0</v>
      </c>
      <c r="E15" s="21" t="s">
        <v>27</v>
      </c>
    </row>
    <row r="16" spans="1:5" ht="30" x14ac:dyDescent="0.25">
      <c r="A16" s="19" t="s">
        <v>28</v>
      </c>
      <c r="B16" s="20">
        <v>0</v>
      </c>
      <c r="C16" s="20">
        <v>0</v>
      </c>
      <c r="D16" s="20">
        <f t="shared" si="0"/>
        <v>0</v>
      </c>
      <c r="E16" s="22" t="s">
        <v>29</v>
      </c>
    </row>
    <row r="17" spans="1:5" ht="15.75" x14ac:dyDescent="0.25">
      <c r="A17" s="19" t="s">
        <v>30</v>
      </c>
      <c r="B17" s="20">
        <v>0</v>
      </c>
      <c r="C17" s="20">
        <v>0</v>
      </c>
      <c r="D17" s="20">
        <f t="shared" si="0"/>
        <v>0</v>
      </c>
      <c r="E17" s="21" t="s">
        <v>31</v>
      </c>
    </row>
    <row r="18" spans="1:5" ht="15.75" x14ac:dyDescent="0.25">
      <c r="A18" s="24" t="s">
        <v>32</v>
      </c>
      <c r="B18" s="25">
        <f>SUM(B12:B17)</f>
        <v>141454</v>
      </c>
      <c r="C18" s="25">
        <f>SUM(C12:C17)</f>
        <v>154473.31299999999</v>
      </c>
      <c r="D18" s="25">
        <f>SUM(D12:D17)</f>
        <v>13019.312999999995</v>
      </c>
    </row>
    <row r="19" spans="1:5" ht="15.75" x14ac:dyDescent="0.25">
      <c r="A19" s="19" t="s">
        <v>35</v>
      </c>
      <c r="B19" s="20" t="s">
        <v>36</v>
      </c>
      <c r="C19" s="20" t="s">
        <v>36</v>
      </c>
      <c r="D19" s="143"/>
    </row>
    <row r="20" spans="1:5" ht="15.75" x14ac:dyDescent="0.25">
      <c r="A20" s="31" t="s">
        <v>37</v>
      </c>
      <c r="B20" s="28">
        <f>B18</f>
        <v>141454</v>
      </c>
      <c r="C20" s="28">
        <f>C18</f>
        <v>154473.31299999999</v>
      </c>
      <c r="D20" s="28">
        <f>D18</f>
        <v>13019.312999999995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38</v>
      </c>
      <c r="B22" s="23">
        <v>2240</v>
      </c>
      <c r="C22" s="23">
        <f>[1]KGYCSSZK!$D$92/1000</f>
        <v>2900</v>
      </c>
      <c r="D22" s="23">
        <f>C22-B22</f>
        <v>660</v>
      </c>
      <c r="E22" s="21" t="s">
        <v>39</v>
      </c>
    </row>
    <row r="23" spans="1:5" ht="45" x14ac:dyDescent="0.25">
      <c r="A23" s="19" t="s">
        <v>41</v>
      </c>
      <c r="B23" s="20">
        <v>0</v>
      </c>
      <c r="C23" s="20">
        <v>0</v>
      </c>
      <c r="D23" s="23">
        <f t="shared" ref="D23:D28" si="1">C23-B23</f>
        <v>0</v>
      </c>
      <c r="E23" s="22" t="s">
        <v>42</v>
      </c>
    </row>
    <row r="24" spans="1:5" ht="15.75" x14ac:dyDescent="0.25">
      <c r="A24" s="19" t="s">
        <v>43</v>
      </c>
      <c r="B24" s="20">
        <v>0</v>
      </c>
      <c r="C24" s="20">
        <v>0</v>
      </c>
      <c r="D24" s="23">
        <f t="shared" si="1"/>
        <v>0</v>
      </c>
      <c r="E24" s="21"/>
    </row>
    <row r="25" spans="1:5" ht="15.75" x14ac:dyDescent="0.25">
      <c r="A25" s="19" t="s">
        <v>44</v>
      </c>
      <c r="B25" s="20">
        <v>370</v>
      </c>
      <c r="C25" s="20">
        <f>[1]KGYCSSZK!$D$93/1000</f>
        <v>700</v>
      </c>
      <c r="D25" s="23">
        <f t="shared" si="1"/>
        <v>330</v>
      </c>
      <c r="E25" s="21" t="s">
        <v>56</v>
      </c>
    </row>
    <row r="26" spans="1:5" ht="15.75" x14ac:dyDescent="0.25">
      <c r="A26" s="19" t="s">
        <v>46</v>
      </c>
      <c r="B26" s="20">
        <v>0</v>
      </c>
      <c r="C26" s="20">
        <v>0</v>
      </c>
      <c r="D26" s="23">
        <f t="shared" si="1"/>
        <v>0</v>
      </c>
      <c r="E26" s="21"/>
    </row>
    <row r="27" spans="1:5" ht="15.75" x14ac:dyDescent="0.25">
      <c r="A27" s="19" t="s">
        <v>71</v>
      </c>
      <c r="B27" s="20">
        <v>138844</v>
      </c>
      <c r="C27" s="20">
        <f>[1]KGYCSSZK!$D$89/1000+[1]KGYCSSZK!$D$98/1000</f>
        <v>146645.02900000001</v>
      </c>
      <c r="D27" s="23">
        <f t="shared" si="1"/>
        <v>7801.0290000000095</v>
      </c>
      <c r="E27" s="21" t="s">
        <v>45</v>
      </c>
    </row>
    <row r="28" spans="1:5" ht="15.75" x14ac:dyDescent="0.25">
      <c r="A28" s="19" t="s">
        <v>47</v>
      </c>
      <c r="B28" s="20">
        <v>0</v>
      </c>
      <c r="C28" s="20">
        <v>0</v>
      </c>
      <c r="D28" s="23">
        <f t="shared" si="1"/>
        <v>0</v>
      </c>
      <c r="E28" s="21" t="s">
        <v>48</v>
      </c>
    </row>
    <row r="29" spans="1:5" ht="15.75" x14ac:dyDescent="0.25">
      <c r="A29" s="24" t="s">
        <v>49</v>
      </c>
      <c r="B29" s="25">
        <f>SUM(B28,B27,B25,B22)</f>
        <v>141454</v>
      </c>
      <c r="C29" s="25">
        <f>SUM(C28,C27,C25,C22)</f>
        <v>150245.02900000001</v>
      </c>
      <c r="D29" s="25">
        <f>SUM(D28,D27,D25,D22)</f>
        <v>8791.0290000000095</v>
      </c>
    </row>
    <row r="30" spans="1:5" ht="15.75" x14ac:dyDescent="0.25">
      <c r="A30" s="19" t="s">
        <v>235</v>
      </c>
      <c r="B30" s="20">
        <v>0</v>
      </c>
      <c r="C30" s="20">
        <f>[1]KGYCSSZK!$D$94/1000</f>
        <v>4228.2839999999997</v>
      </c>
      <c r="D30" s="143">
        <f>C30-B30</f>
        <v>4228.2839999999997</v>
      </c>
    </row>
    <row r="31" spans="1:5" ht="15.75" x14ac:dyDescent="0.25">
      <c r="A31" s="19" t="s">
        <v>51</v>
      </c>
      <c r="B31" s="20" t="s">
        <v>36</v>
      </c>
      <c r="C31" s="20" t="s">
        <v>36</v>
      </c>
      <c r="D31" s="143"/>
    </row>
    <row r="32" spans="1:5" ht="15.75" x14ac:dyDescent="0.25">
      <c r="A32" s="34" t="s">
        <v>52</v>
      </c>
      <c r="B32" s="28">
        <f>SUM(B29+B30)</f>
        <v>141454</v>
      </c>
      <c r="C32" s="28">
        <f>SUM(C29+C30)</f>
        <v>154473.31300000002</v>
      </c>
      <c r="D32" s="28">
        <f>SUM(D29+D30)</f>
        <v>13019.313000000009</v>
      </c>
    </row>
    <row r="34" spans="1:1025" ht="30" x14ac:dyDescent="0.25">
      <c r="A34" s="104" t="s">
        <v>248</v>
      </c>
      <c r="B34" s="2" t="s">
        <v>58</v>
      </c>
    </row>
    <row r="35" spans="1:1025" s="98" customFormat="1" x14ac:dyDescent="0.25">
      <c r="A35" s="104"/>
      <c r="B35" s="2" t="s">
        <v>180</v>
      </c>
      <c r="C35" s="2" t="s">
        <v>234</v>
      </c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</row>
    <row r="36" spans="1:1025" x14ac:dyDescent="0.25">
      <c r="A36" s="46" t="s">
        <v>72</v>
      </c>
      <c r="B36" s="100">
        <v>78138520</v>
      </c>
      <c r="C36" s="167">
        <v>79200000</v>
      </c>
      <c r="D36" s="151"/>
    </row>
    <row r="37" spans="1:1025" x14ac:dyDescent="0.25">
      <c r="A37" s="46" t="s">
        <v>73</v>
      </c>
      <c r="B37" s="100">
        <v>11162080</v>
      </c>
      <c r="C37" s="168"/>
      <c r="D37" s="151"/>
    </row>
    <row r="38" spans="1:1025" s="137" customFormat="1" x14ac:dyDescent="0.25">
      <c r="A38" s="46" t="s">
        <v>237</v>
      </c>
      <c r="B38" s="100"/>
      <c r="C38" s="148">
        <v>13854228</v>
      </c>
      <c r="D38" s="15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x14ac:dyDescent="0.25">
      <c r="A39" s="21" t="s">
        <v>68</v>
      </c>
      <c r="B39" s="100">
        <v>42261266</v>
      </c>
      <c r="C39" s="100">
        <f>[1]KGYCSSZK!$D$100</f>
        <v>49444585</v>
      </c>
      <c r="D39" s="152"/>
    </row>
    <row r="40" spans="1:1025" x14ac:dyDescent="0.25">
      <c r="A40" s="21" t="s">
        <v>74</v>
      </c>
      <c r="B40" s="100">
        <v>7282500</v>
      </c>
      <c r="C40" s="100">
        <f>[1]KGYCSSZK!$D$99</f>
        <v>4146216</v>
      </c>
      <c r="D40" s="152"/>
    </row>
    <row r="41" spans="1:1025" x14ac:dyDescent="0.25">
      <c r="A41" s="1" t="s">
        <v>75</v>
      </c>
      <c r="B41" s="45">
        <f>SUM(B36:B40)</f>
        <v>138844366</v>
      </c>
      <c r="C41" s="45">
        <f>SUM(C36:C40)</f>
        <v>146645029</v>
      </c>
      <c r="D41" s="45"/>
    </row>
    <row r="43" spans="1:1025" x14ac:dyDescent="0.25">
      <c r="A43" s="1" t="s">
        <v>226</v>
      </c>
    </row>
  </sheetData>
  <mergeCells count="7">
    <mergeCell ref="C36:C37"/>
    <mergeCell ref="A9:C9"/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1"/>
  <sheetViews>
    <sheetView topLeftCell="A21" workbookViewId="0">
      <selection activeCell="C39" sqref="C39"/>
    </sheetView>
  </sheetViews>
  <sheetFormatPr defaultRowHeight="15" x14ac:dyDescent="0.25"/>
  <cols>
    <col min="1" max="1" width="59.125" style="1" customWidth="1"/>
    <col min="2" max="2" width="14" style="1" customWidth="1"/>
    <col min="3" max="3" width="15.125" style="1" customWidth="1"/>
    <col min="4" max="1024" width="8.75" style="1" customWidth="1"/>
    <col min="1025" max="1025" width="9" customWidth="1"/>
  </cols>
  <sheetData>
    <row r="1" spans="1:5" x14ac:dyDescent="0.25">
      <c r="B1" s="161" t="s">
        <v>76</v>
      </c>
      <c r="C1" s="161"/>
    </row>
    <row r="2" spans="1:5" x14ac:dyDescent="0.25">
      <c r="B2" s="2"/>
    </row>
    <row r="3" spans="1:5" x14ac:dyDescent="0.25">
      <c r="A3" s="161" t="s">
        <v>1</v>
      </c>
      <c r="B3" s="161"/>
      <c r="C3" s="161"/>
    </row>
    <row r="4" spans="1:5" x14ac:dyDescent="0.25">
      <c r="A4" s="161" t="s">
        <v>238</v>
      </c>
      <c r="B4" s="161"/>
      <c r="C4" s="161"/>
    </row>
    <row r="5" spans="1:5" ht="15.75" x14ac:dyDescent="0.25">
      <c r="A5" s="165" t="s">
        <v>13</v>
      </c>
      <c r="B5" s="165"/>
      <c r="C5" s="165"/>
    </row>
    <row r="6" spans="1:5" ht="15.75" x14ac:dyDescent="0.25">
      <c r="A6" s="165" t="s">
        <v>14</v>
      </c>
      <c r="B6" s="165"/>
      <c r="C6" s="165"/>
    </row>
    <row r="8" spans="1:5" ht="31.5" x14ac:dyDescent="0.25">
      <c r="B8" s="12"/>
      <c r="C8" s="47" t="s">
        <v>77</v>
      </c>
    </row>
    <row r="9" spans="1:5" ht="15.75" customHeight="1" x14ac:dyDescent="0.25">
      <c r="A9" s="166" t="s">
        <v>8</v>
      </c>
      <c r="B9" s="166"/>
      <c r="C9" s="166"/>
    </row>
    <row r="10" spans="1:5" ht="15.75" x14ac:dyDescent="0.25">
      <c r="A10" s="14" t="s">
        <v>6</v>
      </c>
      <c r="B10" s="40" t="s">
        <v>18</v>
      </c>
      <c r="C10" s="40" t="s">
        <v>18</v>
      </c>
      <c r="D10" s="15" t="s">
        <v>19</v>
      </c>
    </row>
    <row r="11" spans="1:5" ht="31.5" x14ac:dyDescent="0.25">
      <c r="A11" s="16"/>
      <c r="B11" s="41" t="s">
        <v>179</v>
      </c>
      <c r="C11" s="41" t="s">
        <v>228</v>
      </c>
      <c r="D11" s="18" t="s">
        <v>180</v>
      </c>
    </row>
    <row r="12" spans="1:5" ht="15.75" x14ac:dyDescent="0.25">
      <c r="A12" s="19" t="s">
        <v>20</v>
      </c>
      <c r="B12" s="23">
        <v>1000</v>
      </c>
      <c r="C12" s="23">
        <f>[1]Társulás!$E$8/1000</f>
        <v>500</v>
      </c>
      <c r="D12" s="21" t="s">
        <v>21</v>
      </c>
      <c r="E12" s="1" t="s">
        <v>78</v>
      </c>
    </row>
    <row r="13" spans="1:5" ht="15.75" x14ac:dyDescent="0.25">
      <c r="A13" s="19" t="s">
        <v>22</v>
      </c>
      <c r="B13" s="23">
        <v>512</v>
      </c>
      <c r="C13" s="23">
        <f>[1]Társulás!$E$12/1000</f>
        <v>256</v>
      </c>
      <c r="D13" s="21" t="s">
        <v>23</v>
      </c>
      <c r="E13" s="1" t="s">
        <v>78</v>
      </c>
    </row>
    <row r="14" spans="1:5" ht="15.75" x14ac:dyDescent="0.25">
      <c r="A14" s="19" t="s">
        <v>24</v>
      </c>
      <c r="B14" s="23">
        <v>12821</v>
      </c>
      <c r="C14" s="23">
        <f>[1]Társulás!$E$20/1000</f>
        <v>11810</v>
      </c>
      <c r="D14" s="21" t="s">
        <v>25</v>
      </c>
      <c r="E14" s="1" t="s">
        <v>78</v>
      </c>
    </row>
    <row r="15" spans="1:5" ht="15.75" x14ac:dyDescent="0.25">
      <c r="A15" s="19" t="s">
        <v>26</v>
      </c>
      <c r="B15" s="23">
        <v>6127</v>
      </c>
      <c r="C15" s="23">
        <f>[1]Társulás!$E$25/1000</f>
        <v>6340</v>
      </c>
      <c r="D15" s="21" t="s">
        <v>187</v>
      </c>
    </row>
    <row r="16" spans="1:5" ht="15.75" x14ac:dyDescent="0.25">
      <c r="A16" s="19" t="s">
        <v>79</v>
      </c>
      <c r="B16" s="23">
        <f>SUM('2B'!B27+'2C'!B27)</f>
        <v>459599</v>
      </c>
      <c r="C16" s="23">
        <f>'2B'!C27+'2C'!C27</f>
        <v>485367.72600000002</v>
      </c>
      <c r="D16" s="22" t="s">
        <v>80</v>
      </c>
    </row>
    <row r="17" spans="1:4" ht="30" x14ac:dyDescent="0.25">
      <c r="A17" s="19" t="s">
        <v>28</v>
      </c>
      <c r="B17" s="23">
        <v>0</v>
      </c>
      <c r="C17" s="23">
        <f>[1]Társulás!$E$36/1000+150000</f>
        <v>151800</v>
      </c>
      <c r="D17" s="22" t="s">
        <v>29</v>
      </c>
    </row>
    <row r="18" spans="1:4" ht="15.75" x14ac:dyDescent="0.25">
      <c r="A18" s="19" t="s">
        <v>30</v>
      </c>
      <c r="B18" s="23">
        <v>0</v>
      </c>
      <c r="C18" s="23">
        <v>0</v>
      </c>
      <c r="D18" s="21" t="s">
        <v>31</v>
      </c>
    </row>
    <row r="19" spans="1:4" ht="15.75" x14ac:dyDescent="0.25">
      <c r="A19" s="24" t="s">
        <v>32</v>
      </c>
      <c r="B19" s="25">
        <f>SUM(B12:B18)</f>
        <v>480059</v>
      </c>
      <c r="C19" s="25">
        <f>SUM(C12:C18)</f>
        <v>656073.72600000002</v>
      </c>
    </row>
    <row r="20" spans="1:4" ht="15.75" x14ac:dyDescent="0.25">
      <c r="A20" s="19" t="s">
        <v>33</v>
      </c>
      <c r="B20" s="23">
        <v>18060</v>
      </c>
      <c r="C20" s="23">
        <f>[1]Társulás!$E$26/1000</f>
        <v>26447.957899999998</v>
      </c>
      <c r="D20" s="21" t="s">
        <v>188</v>
      </c>
    </row>
    <row r="21" spans="1:4" ht="15.75" x14ac:dyDescent="0.25">
      <c r="A21" s="19" t="s">
        <v>35</v>
      </c>
      <c r="B21" s="20" t="s">
        <v>36</v>
      </c>
      <c r="C21" s="20" t="s">
        <v>36</v>
      </c>
    </row>
    <row r="22" spans="1:4" ht="15.75" x14ac:dyDescent="0.25">
      <c r="A22" s="31" t="s">
        <v>37</v>
      </c>
      <c r="B22" s="29">
        <f>SUM(B19+B20)</f>
        <v>498119</v>
      </c>
      <c r="C22" s="29">
        <f>SUM(C19+C20)</f>
        <v>682521.68390000006</v>
      </c>
    </row>
    <row r="23" spans="1:4" ht="15.75" x14ac:dyDescent="0.25">
      <c r="A23" s="32"/>
      <c r="B23" s="30"/>
      <c r="C23" s="30"/>
      <c r="D23" s="48"/>
    </row>
    <row r="24" spans="1:4" ht="15.75" x14ac:dyDescent="0.25">
      <c r="A24" s="19" t="s">
        <v>38</v>
      </c>
      <c r="B24" s="23">
        <v>0</v>
      </c>
      <c r="C24" s="23">
        <f>[1]Társulás!$E$71/1000</f>
        <v>10091</v>
      </c>
      <c r="D24" s="21" t="s">
        <v>39</v>
      </c>
    </row>
    <row r="25" spans="1:4" ht="15.75" x14ac:dyDescent="0.25">
      <c r="A25" s="19" t="s">
        <v>40</v>
      </c>
      <c r="B25" s="23">
        <v>0</v>
      </c>
      <c r="C25" s="23">
        <v>0</v>
      </c>
      <c r="D25" s="21"/>
    </row>
    <row r="26" spans="1:4" ht="45" x14ac:dyDescent="0.25">
      <c r="A26" s="19" t="s">
        <v>41</v>
      </c>
      <c r="B26" s="23">
        <v>0</v>
      </c>
      <c r="C26" s="23">
        <v>150000</v>
      </c>
      <c r="D26" s="22" t="s">
        <v>42</v>
      </c>
    </row>
    <row r="27" spans="1:4" ht="15.75" x14ac:dyDescent="0.25">
      <c r="A27" s="19" t="s">
        <v>43</v>
      </c>
      <c r="B27" s="23">
        <v>0</v>
      </c>
      <c r="C27" s="23">
        <v>0</v>
      </c>
      <c r="D27" s="21"/>
    </row>
    <row r="28" spans="1:4" ht="15.75" x14ac:dyDescent="0.25">
      <c r="A28" s="19" t="s">
        <v>44</v>
      </c>
      <c r="B28" s="23">
        <v>498119</v>
      </c>
      <c r="C28" s="23">
        <f>[1]Társulás!$E$52/1000+[1]Társulás!$E$53/1000+[1]Társulás!$E$56/1000+[1]Társulás!$E$63/1000</f>
        <v>505703.69299999997</v>
      </c>
      <c r="D28" s="21" t="s">
        <v>189</v>
      </c>
    </row>
    <row r="29" spans="1:4" ht="15.75" x14ac:dyDescent="0.25">
      <c r="A29" s="19" t="s">
        <v>46</v>
      </c>
      <c r="B29" s="23">
        <v>321246</v>
      </c>
      <c r="C29" s="23">
        <f>[1]Társulás!$E$52/1000</f>
        <v>317116.09999999998</v>
      </c>
      <c r="D29" s="21"/>
    </row>
    <row r="30" spans="1:4" ht="15.75" x14ac:dyDescent="0.25">
      <c r="A30" s="19" t="s">
        <v>71</v>
      </c>
      <c r="B30" s="23">
        <v>0</v>
      </c>
      <c r="C30" s="23">
        <v>0</v>
      </c>
      <c r="D30" s="21"/>
    </row>
    <row r="31" spans="1:4" ht="15.75" x14ac:dyDescent="0.25">
      <c r="A31" s="19" t="s">
        <v>47</v>
      </c>
      <c r="B31" s="23">
        <v>0</v>
      </c>
      <c r="C31" s="23">
        <v>0</v>
      </c>
      <c r="D31" s="21" t="s">
        <v>48</v>
      </c>
    </row>
    <row r="32" spans="1:4" ht="15.75" x14ac:dyDescent="0.25">
      <c r="A32" s="24" t="s">
        <v>49</v>
      </c>
      <c r="B32" s="25">
        <f>SUM(B24+B25+B26+B28+B30+B31)</f>
        <v>498119</v>
      </c>
      <c r="C32" s="25">
        <f>SUM(C24+C25+C26+C28+C30+C31)</f>
        <v>665794.69299999997</v>
      </c>
    </row>
    <row r="33" spans="1:3" ht="15.75" x14ac:dyDescent="0.25">
      <c r="A33" s="19" t="s">
        <v>235</v>
      </c>
      <c r="B33" s="20">
        <v>0</v>
      </c>
      <c r="C33" s="20">
        <f>[1]Társulás!$E$72/1000</f>
        <v>16726.991000000002</v>
      </c>
    </row>
    <row r="34" spans="1:3" ht="15.75" x14ac:dyDescent="0.25">
      <c r="A34" s="19" t="s">
        <v>51</v>
      </c>
      <c r="B34" s="20" t="s">
        <v>36</v>
      </c>
      <c r="C34" s="20" t="s">
        <v>36</v>
      </c>
    </row>
    <row r="35" spans="1:3" ht="15.75" x14ac:dyDescent="0.25">
      <c r="A35" s="34" t="s">
        <v>52</v>
      </c>
      <c r="B35" s="28">
        <f>B32+B33</f>
        <v>498119</v>
      </c>
      <c r="C35" s="28">
        <f>C32+C33</f>
        <v>682521.68400000001</v>
      </c>
    </row>
    <row r="37" spans="1:3" x14ac:dyDescent="0.25">
      <c r="A37"/>
    </row>
    <row r="38" spans="1:3" x14ac:dyDescent="0.25">
      <c r="A38"/>
    </row>
    <row r="39" spans="1:3" x14ac:dyDescent="0.25">
      <c r="A39"/>
    </row>
    <row r="41" spans="1:3" x14ac:dyDescent="0.25">
      <c r="A41" t="s">
        <v>226</v>
      </c>
    </row>
  </sheetData>
  <mergeCells count="6">
    <mergeCell ref="A9:C9"/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20" workbookViewId="0">
      <selection activeCell="G35" sqref="G35"/>
    </sheetView>
  </sheetViews>
  <sheetFormatPr defaultRowHeight="15" x14ac:dyDescent="0.2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" customWidth="1"/>
    <col min="10" max="1024" width="9.375" style="1" customWidth="1"/>
    <col min="1025" max="1025" width="9" customWidth="1"/>
  </cols>
  <sheetData>
    <row r="1" spans="1:1024" x14ac:dyDescent="0.25">
      <c r="B1" s="164"/>
      <c r="C1" s="164"/>
      <c r="F1" s="2"/>
      <c r="G1" s="2" t="s">
        <v>99</v>
      </c>
    </row>
    <row r="2" spans="1:1024" x14ac:dyDescent="0.25">
      <c r="A2" s="161" t="s">
        <v>1</v>
      </c>
      <c r="B2" s="161"/>
      <c r="C2" s="161"/>
      <c r="D2" s="161"/>
      <c r="E2" s="161"/>
      <c r="F2" s="161"/>
      <c r="G2" s="161"/>
      <c r="H2" s="161"/>
    </row>
    <row r="3" spans="1:1024" x14ac:dyDescent="0.25">
      <c r="A3" s="161" t="s">
        <v>238</v>
      </c>
      <c r="B3" s="161"/>
      <c r="C3" s="161"/>
      <c r="D3" s="161"/>
      <c r="E3" s="161"/>
      <c r="F3" s="161"/>
      <c r="G3" s="161"/>
      <c r="H3" s="161"/>
    </row>
    <row r="4" spans="1:1024" x14ac:dyDescent="0.25">
      <c r="A4" s="3"/>
      <c r="B4" s="3"/>
      <c r="C4" s="3"/>
      <c r="D4" s="3"/>
      <c r="E4" s="3"/>
      <c r="F4" s="3"/>
      <c r="G4" s="3"/>
      <c r="H4" s="3"/>
    </row>
    <row r="5" spans="1:1024" x14ac:dyDescent="0.25">
      <c r="A5" s="161" t="s">
        <v>100</v>
      </c>
      <c r="B5" s="161"/>
      <c r="C5" s="161"/>
      <c r="D5" s="161"/>
      <c r="E5" s="161"/>
      <c r="F5" s="161"/>
      <c r="G5" s="161"/>
      <c r="H5" s="161"/>
    </row>
    <row r="6" spans="1:1024" x14ac:dyDescent="0.25">
      <c r="A6" s="161" t="s">
        <v>240</v>
      </c>
      <c r="B6" s="161"/>
      <c r="C6" s="161"/>
      <c r="D6" s="161"/>
      <c r="E6" s="161"/>
      <c r="F6" s="161"/>
      <c r="G6" s="161"/>
      <c r="H6" s="161"/>
    </row>
    <row r="7" spans="1:1024" x14ac:dyDescent="0.25">
      <c r="A7" s="161" t="s">
        <v>14</v>
      </c>
      <c r="B7" s="161"/>
      <c r="C7" s="161"/>
      <c r="D7" s="161"/>
      <c r="E7" s="161"/>
      <c r="F7" s="161"/>
      <c r="G7" s="161"/>
      <c r="H7" s="161"/>
    </row>
    <row r="8" spans="1:1024" x14ac:dyDescent="0.25">
      <c r="A8" s="2" t="s">
        <v>101</v>
      </c>
    </row>
    <row r="9" spans="1:1024" x14ac:dyDescent="0.25">
      <c r="A9" s="2"/>
    </row>
    <row r="10" spans="1:1024" ht="30" x14ac:dyDescent="0.25">
      <c r="A10" s="2" t="s">
        <v>84</v>
      </c>
      <c r="B10" s="49" t="s">
        <v>20</v>
      </c>
      <c r="C10" s="2" t="s">
        <v>85</v>
      </c>
      <c r="D10" s="2" t="s">
        <v>86</v>
      </c>
      <c r="E10" s="49" t="s">
        <v>87</v>
      </c>
      <c r="F10" s="2" t="s">
        <v>88</v>
      </c>
      <c r="G10" s="49" t="s">
        <v>89</v>
      </c>
      <c r="H10" s="2" t="s">
        <v>75</v>
      </c>
      <c r="AMJ10"/>
    </row>
    <row r="11" spans="1:1024" ht="30" x14ac:dyDescent="0.25">
      <c r="A11" s="22" t="s">
        <v>10</v>
      </c>
      <c r="B11" s="50">
        <f>'2B'!C12</f>
        <v>317527.5</v>
      </c>
      <c r="C11" s="50">
        <f>'2B'!C13</f>
        <v>86295</v>
      </c>
      <c r="D11" s="50">
        <f>'2B'!C14</f>
        <v>190900</v>
      </c>
      <c r="E11" s="50">
        <f>'2B'!C15</f>
        <v>850</v>
      </c>
      <c r="F11" s="50">
        <v>0</v>
      </c>
      <c r="G11" s="50">
        <v>0</v>
      </c>
      <c r="H11" s="50">
        <f>SUM(B11:G11)</f>
        <v>595572.5</v>
      </c>
      <c r="AMJ11"/>
    </row>
    <row r="12" spans="1:1024" ht="15.75" x14ac:dyDescent="0.25">
      <c r="A12" s="22" t="s">
        <v>262</v>
      </c>
      <c r="B12" s="50">
        <f>'2C'!C12</f>
        <v>100941.31299999999</v>
      </c>
      <c r="C12" s="50">
        <f>'2C'!C13</f>
        <v>26962</v>
      </c>
      <c r="D12" s="50">
        <f>'2C'!C14</f>
        <v>26150</v>
      </c>
      <c r="E12" s="50">
        <f>'2C'!C15</f>
        <v>420</v>
      </c>
      <c r="F12" s="50">
        <v>0</v>
      </c>
      <c r="G12" s="50">
        <v>0</v>
      </c>
      <c r="H12" s="50">
        <f>SUM(B12:G12)</f>
        <v>154473.31299999999</v>
      </c>
      <c r="AMJ12"/>
    </row>
    <row r="13" spans="1:1024" ht="15.75" x14ac:dyDescent="0.25">
      <c r="A13" s="22" t="s">
        <v>8</v>
      </c>
      <c r="B13" s="50">
        <f>'2D'!C12</f>
        <v>500</v>
      </c>
      <c r="C13" s="50">
        <f>'2D'!C13</f>
        <v>256</v>
      </c>
      <c r="D13" s="50">
        <f>'2D'!C14</f>
        <v>11810</v>
      </c>
      <c r="E13" s="50">
        <v>0</v>
      </c>
      <c r="F13" s="50">
        <f>'2D'!C20</f>
        <v>26447.957899999998</v>
      </c>
      <c r="G13" s="50">
        <f>'2D'!C15</f>
        <v>6340</v>
      </c>
      <c r="H13" s="50">
        <f>SUM(B13:G13)</f>
        <v>45353.957899999994</v>
      </c>
      <c r="AMJ13"/>
    </row>
    <row r="14" spans="1:1024" x14ac:dyDescent="0.25">
      <c r="A14" s="51" t="s">
        <v>90</v>
      </c>
      <c r="B14" s="52">
        <f t="shared" ref="B14:H14" si="0">SUM(B11:B13)</f>
        <v>418968.81299999997</v>
      </c>
      <c r="C14" s="52">
        <f t="shared" si="0"/>
        <v>113513</v>
      </c>
      <c r="D14" s="52">
        <f t="shared" si="0"/>
        <v>228860</v>
      </c>
      <c r="E14" s="52">
        <f t="shared" si="0"/>
        <v>1270</v>
      </c>
      <c r="F14" s="52">
        <f t="shared" si="0"/>
        <v>26447.957899999998</v>
      </c>
      <c r="G14" s="52">
        <f t="shared" si="0"/>
        <v>6340</v>
      </c>
      <c r="H14" s="52">
        <f t="shared" si="0"/>
        <v>795399.7709</v>
      </c>
      <c r="AMJ14"/>
    </row>
    <row r="15" spans="1:1024" s="1" customFormat="1" ht="15.75" x14ac:dyDescent="0.25">
      <c r="A15" s="49"/>
      <c r="B15" s="58"/>
      <c r="C15" s="58"/>
      <c r="D15" s="58"/>
      <c r="E15" s="58"/>
      <c r="F15" s="58"/>
      <c r="G15" s="58"/>
      <c r="H15" s="59"/>
    </row>
    <row r="16" spans="1:1024" s="1" customFormat="1" x14ac:dyDescent="0.25">
      <c r="A16" s="2" t="s">
        <v>102</v>
      </c>
    </row>
    <row r="17" spans="1:1024" s="1" customFormat="1" x14ac:dyDescent="0.25"/>
    <row r="18" spans="1:1024" ht="30" x14ac:dyDescent="0.25">
      <c r="A18" s="2" t="s">
        <v>84</v>
      </c>
      <c r="B18" s="49" t="s">
        <v>94</v>
      </c>
      <c r="C18" s="49" t="s">
        <v>62</v>
      </c>
      <c r="D18" s="2" t="s">
        <v>95</v>
      </c>
      <c r="E18" s="49" t="s">
        <v>96</v>
      </c>
      <c r="F18" s="49" t="s">
        <v>97</v>
      </c>
      <c r="G18" s="49" t="s">
        <v>236</v>
      </c>
      <c r="H18" s="49" t="s">
        <v>75</v>
      </c>
      <c r="AMJ18"/>
    </row>
    <row r="19" spans="1:1024" ht="30" x14ac:dyDescent="0.25">
      <c r="A19" s="53" t="s">
        <v>10</v>
      </c>
      <c r="B19" s="50">
        <f>'2B'!C22</f>
        <v>220931</v>
      </c>
      <c r="C19" s="54">
        <f>SUM('2B'!C37:C44)/1000</f>
        <v>224061.872</v>
      </c>
      <c r="D19" s="54">
        <f>'2B'!C45/1000</f>
        <v>93047.237999999998</v>
      </c>
      <c r="E19" s="50">
        <f>'2B'!C25+'2B'!C47/1000</f>
        <v>25608.467000000001</v>
      </c>
      <c r="F19" s="54">
        <f>'2B'!C46/1000</f>
        <v>13005.12</v>
      </c>
      <c r="G19" s="54">
        <f>'2B'!C30</f>
        <v>18918.803</v>
      </c>
      <c r="H19" s="50">
        <f>SUM(B19:G19)</f>
        <v>595572.49999999988</v>
      </c>
      <c r="AMJ19"/>
    </row>
    <row r="20" spans="1:1024" ht="15.75" x14ac:dyDescent="0.25">
      <c r="A20" s="22" t="s">
        <v>262</v>
      </c>
      <c r="B20" s="50">
        <f>'2C'!C22</f>
        <v>2900</v>
      </c>
      <c r="C20" s="54">
        <f>SUM('2C'!C36:C38)/1000</f>
        <v>93054.228000000003</v>
      </c>
      <c r="D20" s="54">
        <f>'2C'!C39/1000</f>
        <v>49444.584999999999</v>
      </c>
      <c r="E20" s="54">
        <f>'2C'!C25+[1]KGYCSSZK!$D$99/1000</f>
        <v>4846.2160000000003</v>
      </c>
      <c r="F20" s="54">
        <v>0</v>
      </c>
      <c r="G20" s="50">
        <f>'2C'!C30</f>
        <v>4228.2839999999997</v>
      </c>
      <c r="H20" s="50">
        <f>SUM(B20:G20)</f>
        <v>154473.31299999997</v>
      </c>
      <c r="AMJ20"/>
    </row>
    <row r="21" spans="1:1024" ht="15.75" x14ac:dyDescent="0.25">
      <c r="A21" s="22" t="s">
        <v>8</v>
      </c>
      <c r="B21" s="50">
        <f>'2D'!C24</f>
        <v>10091</v>
      </c>
      <c r="C21" s="50">
        <v>0</v>
      </c>
      <c r="D21" s="50">
        <v>0</v>
      </c>
      <c r="E21" s="50">
        <v>20336</v>
      </c>
      <c r="F21" s="50">
        <v>0</v>
      </c>
      <c r="G21" s="50">
        <f>'2D'!C33-1800</f>
        <v>14926.991000000002</v>
      </c>
      <c r="H21" s="50">
        <f>SUM(B21:G21)</f>
        <v>45353.991000000002</v>
      </c>
      <c r="AMJ21"/>
    </row>
    <row r="22" spans="1:1024" ht="15.75" x14ac:dyDescent="0.25">
      <c r="A22" s="56" t="s">
        <v>90</v>
      </c>
      <c r="B22" s="57">
        <f t="shared" ref="B22:H22" si="1">SUM(B19:B21)</f>
        <v>233922</v>
      </c>
      <c r="C22" s="57">
        <f t="shared" si="1"/>
        <v>317116.09999999998</v>
      </c>
      <c r="D22" s="57">
        <f t="shared" si="1"/>
        <v>142491.823</v>
      </c>
      <c r="E22" s="57">
        <f t="shared" si="1"/>
        <v>50790.683000000005</v>
      </c>
      <c r="F22" s="57">
        <f t="shared" si="1"/>
        <v>13005.12</v>
      </c>
      <c r="G22" s="57">
        <f t="shared" si="1"/>
        <v>38074.078000000001</v>
      </c>
      <c r="H22" s="57">
        <f t="shared" si="1"/>
        <v>795399.80399999989</v>
      </c>
      <c r="AMJ22"/>
    </row>
    <row r="23" spans="1:1024" s="106" customFormat="1" ht="15.75" x14ac:dyDescent="0.25">
      <c r="A23" s="49"/>
      <c r="B23" s="105"/>
      <c r="C23" s="105"/>
      <c r="D23" s="105"/>
      <c r="E23" s="105"/>
      <c r="F23" s="105"/>
      <c r="G23" s="105"/>
      <c r="H23" s="105"/>
      <c r="I23" s="10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106" customFormat="1" ht="15.75" x14ac:dyDescent="0.25">
      <c r="A24" s="49" t="s">
        <v>190</v>
      </c>
      <c r="B24" s="105"/>
      <c r="C24" s="105"/>
      <c r="D24" s="105"/>
      <c r="E24" s="105" t="s">
        <v>191</v>
      </c>
      <c r="F24" s="105"/>
      <c r="G24" s="105"/>
      <c r="H24" s="105"/>
      <c r="I24" s="10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106" customFormat="1" ht="30" x14ac:dyDescent="0.25">
      <c r="A25" s="2" t="s">
        <v>84</v>
      </c>
      <c r="B25" s="49" t="s">
        <v>28</v>
      </c>
      <c r="C25" s="2" t="s">
        <v>75</v>
      </c>
      <c r="D25" s="105"/>
      <c r="E25" s="2" t="s">
        <v>84</v>
      </c>
      <c r="F25" s="49" t="s">
        <v>236</v>
      </c>
      <c r="G25" s="49" t="s">
        <v>75</v>
      </c>
      <c r="H25" s="105"/>
      <c r="I25" s="10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06" customFormat="1" ht="30" x14ac:dyDescent="0.25">
      <c r="A26" s="22" t="s">
        <v>10</v>
      </c>
      <c r="B26" s="50">
        <v>0</v>
      </c>
      <c r="C26" s="50">
        <v>0</v>
      </c>
      <c r="D26" s="105"/>
      <c r="E26" s="53" t="s">
        <v>10</v>
      </c>
      <c r="F26" s="50">
        <v>0</v>
      </c>
      <c r="G26" s="50">
        <v>0</v>
      </c>
      <c r="H26" s="105"/>
      <c r="I26" s="10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06" customFormat="1" ht="45" x14ac:dyDescent="0.25">
      <c r="A27" s="22" t="s">
        <v>262</v>
      </c>
      <c r="B27" s="50">
        <v>0</v>
      </c>
      <c r="C27" s="50">
        <v>0</v>
      </c>
      <c r="D27" s="105"/>
      <c r="E27" s="22" t="s">
        <v>262</v>
      </c>
      <c r="F27" s="50">
        <v>0</v>
      </c>
      <c r="G27" s="50">
        <v>0</v>
      </c>
      <c r="H27" s="105"/>
      <c r="I27" s="10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106" customFormat="1" ht="30" x14ac:dyDescent="0.25">
      <c r="A28" s="22" t="s">
        <v>8</v>
      </c>
      <c r="B28" s="50">
        <f>1800+150000</f>
        <v>151800</v>
      </c>
      <c r="C28" s="50">
        <f>B28</f>
        <v>151800</v>
      </c>
      <c r="D28" s="105"/>
      <c r="E28" s="22" t="s">
        <v>8</v>
      </c>
      <c r="F28" s="50">
        <f>1800+150000</f>
        <v>151800</v>
      </c>
      <c r="G28" s="50">
        <f>1800+150000</f>
        <v>151800</v>
      </c>
      <c r="H28" s="105"/>
      <c r="I28" s="10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106" customFormat="1" ht="15.75" x14ac:dyDescent="0.25">
      <c r="A29" s="51" t="s">
        <v>90</v>
      </c>
      <c r="B29" s="52">
        <f t="shared" ref="B29:C29" si="2">SUM(B26:B28)</f>
        <v>151800</v>
      </c>
      <c r="C29" s="52">
        <f t="shared" si="2"/>
        <v>151800</v>
      </c>
      <c r="D29" s="105"/>
      <c r="E29" s="56" t="s">
        <v>90</v>
      </c>
      <c r="F29" s="57">
        <f t="shared" ref="F29:G29" si="3">SUM(F26:F28)</f>
        <v>151800</v>
      </c>
      <c r="G29" s="57">
        <f t="shared" si="3"/>
        <v>151800</v>
      </c>
      <c r="H29" s="105"/>
      <c r="I29" s="10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106" customFormat="1" ht="15.75" x14ac:dyDescent="0.25">
      <c r="A30" s="49"/>
      <c r="B30" s="105"/>
      <c r="C30" s="105"/>
      <c r="D30" s="105"/>
      <c r="E30" s="105"/>
      <c r="F30" s="105"/>
      <c r="G30" s="105"/>
      <c r="H30" s="105"/>
      <c r="I30" s="10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4" spans="1:1" x14ac:dyDescent="0.25">
      <c r="A34" s="1" t="s">
        <v>226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opLeftCell="A15" workbookViewId="0">
      <selection activeCell="H34" sqref="H34"/>
    </sheetView>
  </sheetViews>
  <sheetFormatPr defaultRowHeight="15" x14ac:dyDescent="0.25"/>
  <cols>
    <col min="1" max="1" width="31.5" style="1" customWidth="1"/>
    <col min="2" max="2" width="13.75" style="1" customWidth="1"/>
    <col min="3" max="3" width="12.5" style="1" customWidth="1"/>
    <col min="4" max="4" width="15.25" style="1" customWidth="1"/>
    <col min="5" max="5" width="11.25" style="1" customWidth="1"/>
    <col min="6" max="6" width="14.625" style="1" customWidth="1"/>
    <col min="7" max="7" width="13.25" style="1" customWidth="1"/>
    <col min="8" max="8" width="15" style="1" customWidth="1"/>
    <col min="9" max="9" width="13" style="1" customWidth="1"/>
    <col min="10" max="1024" width="8.75" style="1" customWidth="1"/>
    <col min="1025" max="1025" width="9" customWidth="1"/>
  </cols>
  <sheetData>
    <row r="1" spans="1:9" x14ac:dyDescent="0.25">
      <c r="B1" s="164"/>
      <c r="C1" s="164"/>
      <c r="H1" s="2" t="s">
        <v>81</v>
      </c>
    </row>
    <row r="2" spans="1:9" x14ac:dyDescent="0.25">
      <c r="B2" s="2"/>
    </row>
    <row r="3" spans="1:9" x14ac:dyDescent="0.25">
      <c r="A3" s="161" t="s">
        <v>1</v>
      </c>
      <c r="B3" s="161"/>
      <c r="C3" s="161"/>
      <c r="D3" s="161"/>
      <c r="E3" s="161"/>
      <c r="F3" s="161"/>
      <c r="G3" s="161"/>
      <c r="H3" s="161"/>
      <c r="I3" s="161"/>
    </row>
    <row r="4" spans="1:9" x14ac:dyDescent="0.25">
      <c r="A4" s="161" t="s">
        <v>238</v>
      </c>
      <c r="B4" s="161"/>
      <c r="C4" s="161"/>
      <c r="D4" s="161"/>
      <c r="E4" s="161"/>
      <c r="F4" s="161"/>
      <c r="G4" s="161"/>
      <c r="H4" s="161"/>
      <c r="I4" s="161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161" t="s">
        <v>82</v>
      </c>
      <c r="B6" s="161"/>
      <c r="C6" s="161"/>
      <c r="D6" s="161"/>
      <c r="E6" s="161"/>
      <c r="F6" s="161"/>
      <c r="G6" s="161"/>
      <c r="H6" s="161"/>
      <c r="I6" s="161"/>
    </row>
    <row r="7" spans="1:9" x14ac:dyDescent="0.25">
      <c r="A7" s="161" t="s">
        <v>240</v>
      </c>
      <c r="B7" s="161"/>
      <c r="C7" s="161"/>
      <c r="D7" s="161"/>
      <c r="E7" s="161"/>
      <c r="F7" s="161"/>
      <c r="G7" s="161"/>
      <c r="H7" s="161"/>
      <c r="I7" s="161"/>
    </row>
    <row r="8" spans="1:9" x14ac:dyDescent="0.25">
      <c r="A8" s="161" t="s">
        <v>14</v>
      </c>
      <c r="B8" s="161"/>
      <c r="C8" s="161"/>
      <c r="D8" s="161"/>
      <c r="E8" s="161"/>
      <c r="F8" s="161"/>
      <c r="G8" s="161"/>
      <c r="H8" s="161"/>
      <c r="I8" s="161"/>
    </row>
    <row r="10" spans="1:9" x14ac:dyDescent="0.25">
      <c r="A10" s="2" t="s">
        <v>83</v>
      </c>
    </row>
    <row r="12" spans="1:9" ht="45" x14ac:dyDescent="0.25">
      <c r="A12" s="2" t="s">
        <v>84</v>
      </c>
      <c r="B12" s="49" t="s">
        <v>20</v>
      </c>
      <c r="C12" s="2" t="s">
        <v>85</v>
      </c>
      <c r="D12" s="2" t="s">
        <v>86</v>
      </c>
      <c r="E12" s="49" t="s">
        <v>87</v>
      </c>
      <c r="F12" s="2" t="s">
        <v>88</v>
      </c>
      <c r="G12" s="49" t="s">
        <v>89</v>
      </c>
      <c r="H12" s="49" t="s">
        <v>28</v>
      </c>
      <c r="I12" s="2" t="s">
        <v>75</v>
      </c>
    </row>
    <row r="13" spans="1:9" ht="44.25" customHeight="1" x14ac:dyDescent="0.25">
      <c r="A13" s="22" t="s">
        <v>10</v>
      </c>
      <c r="B13" s="50">
        <f>'2B'!C12</f>
        <v>317527.5</v>
      </c>
      <c r="C13" s="50">
        <f>'2B'!C13</f>
        <v>86295</v>
      </c>
      <c r="D13" s="50">
        <f>'2B'!C14</f>
        <v>190900</v>
      </c>
      <c r="E13" s="50">
        <f>'2B'!C15</f>
        <v>850</v>
      </c>
      <c r="F13" s="50">
        <v>0</v>
      </c>
      <c r="G13" s="50">
        <v>0</v>
      </c>
      <c r="H13" s="50">
        <f>'2B'!C16</f>
        <v>0</v>
      </c>
      <c r="I13" s="50">
        <f>SUM(B13:H13)</f>
        <v>595572.5</v>
      </c>
    </row>
    <row r="14" spans="1:9" ht="40.5" customHeight="1" x14ac:dyDescent="0.25">
      <c r="A14" s="22" t="s">
        <v>262</v>
      </c>
      <c r="B14" s="50">
        <f>'2C'!C12</f>
        <v>100941.31299999999</v>
      </c>
      <c r="C14" s="50">
        <f>'2C'!C13</f>
        <v>26962</v>
      </c>
      <c r="D14" s="50">
        <f>'2C'!C14</f>
        <v>26150</v>
      </c>
      <c r="E14" s="50">
        <f>'2C'!C15</f>
        <v>420</v>
      </c>
      <c r="F14" s="50">
        <v>0</v>
      </c>
      <c r="G14" s="50">
        <v>0</v>
      </c>
      <c r="H14" s="50">
        <v>0</v>
      </c>
      <c r="I14" s="50">
        <f>SUM(B14:H14)</f>
        <v>154473.31299999999</v>
      </c>
    </row>
    <row r="15" spans="1:9" ht="40.5" customHeight="1" x14ac:dyDescent="0.25">
      <c r="A15" s="22" t="s">
        <v>8</v>
      </c>
      <c r="B15" s="50">
        <f>'2D'!C12</f>
        <v>500</v>
      </c>
      <c r="C15" s="50">
        <f>'2D'!C13</f>
        <v>256</v>
      </c>
      <c r="D15" s="50">
        <f>'2D'!C14</f>
        <v>11810</v>
      </c>
      <c r="E15" s="50">
        <v>0</v>
      </c>
      <c r="F15" s="50">
        <f>'2D'!C20</f>
        <v>26447.957899999998</v>
      </c>
      <c r="G15" s="50">
        <f>'2D'!C15</f>
        <v>6340</v>
      </c>
      <c r="H15" s="50">
        <f>1800+150000</f>
        <v>151800</v>
      </c>
      <c r="I15" s="50">
        <f>SUM(B15:H15)</f>
        <v>197153.95789999998</v>
      </c>
    </row>
    <row r="16" spans="1:9" x14ac:dyDescent="0.25">
      <c r="A16" s="51" t="s">
        <v>90</v>
      </c>
      <c r="B16" s="52">
        <f t="shared" ref="B16:I16" si="0">SUM(B13:B15)</f>
        <v>418968.81299999997</v>
      </c>
      <c r="C16" s="52">
        <f t="shared" si="0"/>
        <v>113513</v>
      </c>
      <c r="D16" s="52">
        <f t="shared" si="0"/>
        <v>228860</v>
      </c>
      <c r="E16" s="52">
        <f t="shared" si="0"/>
        <v>1270</v>
      </c>
      <c r="F16" s="52">
        <f t="shared" si="0"/>
        <v>26447.957899999998</v>
      </c>
      <c r="G16" s="52">
        <f t="shared" si="0"/>
        <v>6340</v>
      </c>
      <c r="H16" s="52">
        <f t="shared" si="0"/>
        <v>151800</v>
      </c>
      <c r="I16" s="52">
        <f t="shared" si="0"/>
        <v>947199.77089999989</v>
      </c>
    </row>
    <row r="20" spans="1:1" x14ac:dyDescent="0.25">
      <c r="A20" t="s">
        <v>226</v>
      </c>
    </row>
  </sheetData>
  <mergeCells count="6">
    <mergeCell ref="A8:I8"/>
    <mergeCell ref="B1:C1"/>
    <mergeCell ref="A3:I3"/>
    <mergeCell ref="A4:I4"/>
    <mergeCell ref="A6:I6"/>
    <mergeCell ref="A7:I7"/>
  </mergeCells>
  <pageMargins left="0.70826771653543308" right="0.70826771653543308" top="1.1417322834645671" bottom="1.1417322834645671" header="0.74803149606299213" footer="0.74803149606299213"/>
  <pageSetup paperSize="0" scale="95" fitToWidth="0" fitToHeight="0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opLeftCell="A6" workbookViewId="0">
      <selection activeCell="F18" sqref="F18"/>
    </sheetView>
  </sheetViews>
  <sheetFormatPr defaultRowHeight="15" x14ac:dyDescent="0.25"/>
  <cols>
    <col min="1" max="1" width="27.25" style="1" customWidth="1"/>
    <col min="2" max="2" width="15.5" style="1" customWidth="1"/>
    <col min="3" max="3" width="16.75" style="1" customWidth="1"/>
    <col min="4" max="4" width="14" style="1" customWidth="1"/>
    <col min="5" max="5" width="20.125" style="1" customWidth="1"/>
    <col min="6" max="6" width="14" style="1" customWidth="1"/>
    <col min="7" max="7" width="11.625" style="1" customWidth="1"/>
    <col min="8" max="8" width="11.375" style="1" customWidth="1"/>
    <col min="9" max="9" width="15.25" style="1" customWidth="1"/>
    <col min="10" max="10" width="12.875" style="1" customWidth="1"/>
    <col min="11" max="11" width="8.75" style="1" customWidth="1"/>
    <col min="12" max="12" width="11.25" style="1" customWidth="1"/>
    <col min="13" max="1025" width="8.75" style="1" customWidth="1"/>
    <col min="1026" max="1026" width="9" customWidth="1"/>
  </cols>
  <sheetData>
    <row r="1" spans="1:12" x14ac:dyDescent="0.25">
      <c r="B1" s="164"/>
      <c r="C1" s="164"/>
      <c r="I1" s="2" t="s">
        <v>91</v>
      </c>
    </row>
    <row r="2" spans="1:12" x14ac:dyDescent="0.25">
      <c r="B2" s="2"/>
    </row>
    <row r="3" spans="1:12" x14ac:dyDescent="0.25">
      <c r="A3" s="161" t="s">
        <v>1</v>
      </c>
      <c r="B3" s="161"/>
      <c r="C3" s="161"/>
      <c r="D3" s="161"/>
      <c r="E3" s="161"/>
      <c r="F3" s="161"/>
      <c r="G3" s="161"/>
      <c r="H3" s="161"/>
      <c r="I3" s="161"/>
      <c r="J3" s="161"/>
    </row>
    <row r="4" spans="1:12" x14ac:dyDescent="0.25">
      <c r="A4" s="161" t="s">
        <v>238</v>
      </c>
      <c r="B4" s="161"/>
      <c r="C4" s="161"/>
      <c r="D4" s="161"/>
      <c r="E4" s="161"/>
      <c r="F4" s="161"/>
      <c r="G4" s="161"/>
      <c r="H4" s="161"/>
      <c r="I4" s="161"/>
      <c r="J4" s="161"/>
    </row>
    <row r="6" spans="1:12" x14ac:dyDescent="0.25">
      <c r="A6" s="161" t="s">
        <v>92</v>
      </c>
      <c r="B6" s="161"/>
      <c r="C6" s="161"/>
      <c r="D6" s="161"/>
      <c r="E6" s="161"/>
      <c r="F6" s="161"/>
      <c r="G6" s="161"/>
      <c r="H6" s="161"/>
      <c r="I6" s="161"/>
      <c r="J6" s="161"/>
    </row>
    <row r="7" spans="1:12" x14ac:dyDescent="0.25">
      <c r="A7" s="161" t="s">
        <v>240</v>
      </c>
      <c r="B7" s="161"/>
      <c r="C7" s="161"/>
      <c r="D7" s="161"/>
      <c r="E7" s="161"/>
      <c r="F7" s="161"/>
      <c r="G7" s="161"/>
      <c r="H7" s="161"/>
      <c r="I7" s="161"/>
      <c r="J7" s="161"/>
    </row>
    <row r="8" spans="1:12" x14ac:dyDescent="0.25">
      <c r="A8" s="161" t="s">
        <v>14</v>
      </c>
      <c r="B8" s="161"/>
      <c r="C8" s="161"/>
      <c r="D8" s="161"/>
      <c r="E8" s="161"/>
      <c r="F8" s="161"/>
      <c r="G8" s="161"/>
      <c r="H8" s="161"/>
      <c r="I8" s="161"/>
      <c r="J8" s="161"/>
    </row>
    <row r="10" spans="1:12" x14ac:dyDescent="0.25">
      <c r="A10" s="2" t="s">
        <v>93</v>
      </c>
    </row>
    <row r="12" spans="1:12" ht="45" x14ac:dyDescent="0.25">
      <c r="A12" s="2" t="s">
        <v>84</v>
      </c>
      <c r="B12" s="49" t="s">
        <v>94</v>
      </c>
      <c r="C12" s="49" t="s">
        <v>62</v>
      </c>
      <c r="D12" s="2" t="s">
        <v>95</v>
      </c>
      <c r="E12" s="49" t="s">
        <v>96</v>
      </c>
      <c r="F12" s="49" t="s">
        <v>263</v>
      </c>
      <c r="G12" s="49" t="s">
        <v>97</v>
      </c>
      <c r="H12" s="49" t="s">
        <v>98</v>
      </c>
      <c r="I12" s="49" t="s">
        <v>236</v>
      </c>
      <c r="J12" s="49" t="s">
        <v>75</v>
      </c>
    </row>
    <row r="13" spans="1:12" ht="42" customHeight="1" x14ac:dyDescent="0.25">
      <c r="A13" s="53" t="s">
        <v>10</v>
      </c>
      <c r="B13" s="50">
        <f>'2B'!C22</f>
        <v>220931</v>
      </c>
      <c r="C13" s="54">
        <f>SUM('2B'!C37+'2B'!C38+'2B'!C39+'2B'!C40+'2B'!C41+'2B'!C42+'2B'!C43+'2B'!C44)/1000</f>
        <v>224061.872</v>
      </c>
      <c r="D13" s="54">
        <f>'2B'!C45/1000</f>
        <v>93047.237999999998</v>
      </c>
      <c r="E13" s="50">
        <f>'2B'!C25</f>
        <v>17000</v>
      </c>
      <c r="F13" s="50">
        <v>0</v>
      </c>
      <c r="G13" s="54">
        <f>'2B'!C46/1000</f>
        <v>13005.12</v>
      </c>
      <c r="H13" s="54">
        <f>'2B'!C47/1000</f>
        <v>8608.4670000000006</v>
      </c>
      <c r="I13" s="50">
        <f>'2B'!C30</f>
        <v>18918.803</v>
      </c>
      <c r="J13" s="50">
        <f>SUM(B13:I13)</f>
        <v>595572.49999999988</v>
      </c>
      <c r="L13" s="55"/>
    </row>
    <row r="14" spans="1:12" ht="47.25" customHeight="1" x14ac:dyDescent="0.25">
      <c r="A14" s="22" t="s">
        <v>262</v>
      </c>
      <c r="B14" s="50">
        <f>'2C'!C22</f>
        <v>2900</v>
      </c>
      <c r="C14" s="54">
        <v>93054</v>
      </c>
      <c r="D14" s="54">
        <f>'2C'!C39/1000</f>
        <v>49444.584999999999</v>
      </c>
      <c r="E14" s="54">
        <f>'2C'!C25</f>
        <v>700</v>
      </c>
      <c r="F14" s="54">
        <v>0</v>
      </c>
      <c r="G14" s="54">
        <v>0</v>
      </c>
      <c r="H14" s="50">
        <f>'2C'!C40/1000</f>
        <v>4146.2160000000003</v>
      </c>
      <c r="I14" s="50">
        <f>'2C'!C30</f>
        <v>4228.2839999999997</v>
      </c>
      <c r="J14" s="50">
        <f>SUM(B14:I14)</f>
        <v>154473.08499999996</v>
      </c>
    </row>
    <row r="15" spans="1:12" ht="43.5" customHeight="1" x14ac:dyDescent="0.25">
      <c r="A15" s="22" t="s">
        <v>8</v>
      </c>
      <c r="B15" s="50">
        <f>'2D'!C24</f>
        <v>10091</v>
      </c>
      <c r="C15" s="50">
        <v>0</v>
      </c>
      <c r="D15" s="50">
        <v>0</v>
      </c>
      <c r="E15" s="50">
        <v>20336</v>
      </c>
      <c r="F15" s="50">
        <v>150000</v>
      </c>
      <c r="G15" s="50">
        <v>0</v>
      </c>
      <c r="H15" s="50"/>
      <c r="I15" s="50">
        <f>'2D'!C33</f>
        <v>16726.991000000002</v>
      </c>
      <c r="J15" s="50">
        <f>SUM(B15:I15)</f>
        <v>197153.99100000001</v>
      </c>
    </row>
    <row r="16" spans="1:12" ht="15.75" x14ac:dyDescent="0.25">
      <c r="A16" s="56" t="s">
        <v>90</v>
      </c>
      <c r="B16" s="57">
        <f t="shared" ref="B16:J16" si="0">SUM(B13:B15)</f>
        <v>233922</v>
      </c>
      <c r="C16" s="57">
        <f t="shared" si="0"/>
        <v>317115.87199999997</v>
      </c>
      <c r="D16" s="57">
        <f t="shared" si="0"/>
        <v>142491.823</v>
      </c>
      <c r="E16" s="57">
        <f t="shared" si="0"/>
        <v>38036</v>
      </c>
      <c r="F16" s="57">
        <f t="shared" si="0"/>
        <v>150000</v>
      </c>
      <c r="G16" s="57">
        <f t="shared" si="0"/>
        <v>13005.12</v>
      </c>
      <c r="H16" s="57">
        <f t="shared" si="0"/>
        <v>12754.683000000001</v>
      </c>
      <c r="I16" s="57">
        <f t="shared" si="0"/>
        <v>39874.078000000001</v>
      </c>
      <c r="J16" s="57">
        <f t="shared" si="0"/>
        <v>947199.57599999988</v>
      </c>
    </row>
    <row r="20" spans="1:1" x14ac:dyDescent="0.25">
      <c r="A20" s="1" t="s">
        <v>226</v>
      </c>
    </row>
  </sheetData>
  <mergeCells count="6">
    <mergeCell ref="A8:J8"/>
    <mergeCell ref="B1:C1"/>
    <mergeCell ref="A3:J3"/>
    <mergeCell ref="A4:J4"/>
    <mergeCell ref="A6:J6"/>
    <mergeCell ref="A7:J7"/>
  </mergeCells>
  <pageMargins left="0.70826771653543308" right="0.70826771653543308" top="1.1417322834645671" bottom="1.1417322834645671" header="0.74803149606299213" footer="0.74803149606299213"/>
  <pageSetup paperSize="0" scale="90" fitToWidth="0" fitToHeight="0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topLeftCell="A30" workbookViewId="0">
      <selection activeCell="A40" sqref="A40"/>
    </sheetView>
  </sheetViews>
  <sheetFormatPr defaultRowHeight="15" x14ac:dyDescent="0.25"/>
  <cols>
    <col min="1" max="1" width="37.5" style="1" customWidth="1"/>
    <col min="2" max="2" width="34.875" style="1" customWidth="1"/>
    <col min="3" max="3" width="18.5" style="1" customWidth="1"/>
    <col min="4" max="1024" width="8.75" style="1" customWidth="1"/>
    <col min="1025" max="1025" width="9" customWidth="1"/>
  </cols>
  <sheetData>
    <row r="1" spans="1:1024" x14ac:dyDescent="0.25">
      <c r="B1" s="161" t="s">
        <v>241</v>
      </c>
      <c r="C1" s="161"/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161" t="s">
        <v>1</v>
      </c>
      <c r="B5" s="161"/>
      <c r="C5" s="161"/>
    </row>
    <row r="6" spans="1:1024" x14ac:dyDescent="0.25">
      <c r="A6" s="161" t="s">
        <v>242</v>
      </c>
      <c r="B6" s="161"/>
      <c r="C6" s="161"/>
    </row>
    <row r="9" spans="1:1024" x14ac:dyDescent="0.25">
      <c r="A9" s="161" t="s">
        <v>104</v>
      </c>
      <c r="B9" s="161"/>
      <c r="C9" s="161"/>
    </row>
    <row r="10" spans="1:1024" x14ac:dyDescent="0.25">
      <c r="A10" s="161" t="s">
        <v>105</v>
      </c>
      <c r="B10" s="161"/>
      <c r="C10" s="161"/>
    </row>
    <row r="12" spans="1:1024" x14ac:dyDescent="0.25">
      <c r="A12" s="2" t="s">
        <v>106</v>
      </c>
      <c r="B12" s="2" t="s">
        <v>107</v>
      </c>
      <c r="C12" s="2" t="s">
        <v>108</v>
      </c>
    </row>
    <row r="13" spans="1:1024" ht="31.5" customHeight="1" x14ac:dyDescent="0.3">
      <c r="A13" s="60" t="s">
        <v>109</v>
      </c>
      <c r="B13" s="22" t="s">
        <v>110</v>
      </c>
      <c r="C13" s="61">
        <f>'4'!C16</f>
        <v>317115.87199999997</v>
      </c>
    </row>
    <row r="14" spans="1:1024" ht="45.75" x14ac:dyDescent="0.3">
      <c r="A14" s="22" t="s">
        <v>111</v>
      </c>
      <c r="B14" s="22" t="s">
        <v>193</v>
      </c>
      <c r="C14" s="61">
        <v>13005</v>
      </c>
    </row>
    <row r="15" spans="1:1024" s="98" customFormat="1" ht="30.75" x14ac:dyDescent="0.3">
      <c r="A15" s="22" t="s">
        <v>111</v>
      </c>
      <c r="B15" s="22" t="s">
        <v>194</v>
      </c>
      <c r="C15" s="61">
        <f>[3]Munka1!$C$44/1000</f>
        <v>10091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ht="30.75" x14ac:dyDescent="0.3">
      <c r="A16" s="22" t="s">
        <v>112</v>
      </c>
      <c r="B16" s="22" t="s">
        <v>113</v>
      </c>
      <c r="C16" s="61">
        <f>[1]Társulás!$E$55/1000</f>
        <v>93047.237999999998</v>
      </c>
    </row>
    <row r="17" spans="1:1024" ht="30.75" x14ac:dyDescent="0.3">
      <c r="A17" s="22" t="s">
        <v>112</v>
      </c>
      <c r="B17" s="22" t="s">
        <v>114</v>
      </c>
      <c r="C17" s="61">
        <f>[1]Társulás!$E$54/1000</f>
        <v>49444.584999999999</v>
      </c>
    </row>
    <row r="18" spans="1:1024" ht="30.75" x14ac:dyDescent="0.3">
      <c r="A18" s="22" t="s">
        <v>195</v>
      </c>
      <c r="B18" s="22" t="s">
        <v>114</v>
      </c>
      <c r="C18" s="61">
        <f>[1]Társulás!$G$66/1000</f>
        <v>7695.5</v>
      </c>
    </row>
    <row r="19" spans="1:1024" ht="45.75" x14ac:dyDescent="0.3">
      <c r="A19" s="22" t="s">
        <v>195</v>
      </c>
      <c r="B19" s="22" t="s">
        <v>192</v>
      </c>
      <c r="C19" s="61">
        <f>SUM([1]Társulás!$G$64+[1]Társulás!$G$65+[1]Társulás!$G$67+[1]Társulás!$G$68)/1000</f>
        <v>25395.15</v>
      </c>
    </row>
    <row r="20" spans="1:1024" ht="18.75" x14ac:dyDescent="0.3">
      <c r="A20" s="51" t="s">
        <v>116</v>
      </c>
      <c r="B20" s="62"/>
      <c r="C20" s="63">
        <f>SUM(C13:C19)</f>
        <v>515794.34500000003</v>
      </c>
    </row>
    <row r="21" spans="1:1024" x14ac:dyDescent="0.25">
      <c r="B21" s="48" t="s">
        <v>117</v>
      </c>
    </row>
    <row r="23" spans="1:1024" x14ac:dyDescent="0.25">
      <c r="A23" s="161" t="s">
        <v>118</v>
      </c>
      <c r="B23" s="161"/>
      <c r="C23" s="161"/>
    </row>
    <row r="24" spans="1:1024" x14ac:dyDescent="0.25">
      <c r="A24" s="161" t="s">
        <v>105</v>
      </c>
      <c r="B24" s="161"/>
      <c r="C24" s="161"/>
    </row>
    <row r="26" spans="1:1024" x14ac:dyDescent="0.25">
      <c r="A26" s="2" t="s">
        <v>119</v>
      </c>
      <c r="B26" s="2" t="s">
        <v>120</v>
      </c>
      <c r="C26" s="2" t="s">
        <v>108</v>
      </c>
    </row>
    <row r="27" spans="1:1024" ht="18.75" x14ac:dyDescent="0.3">
      <c r="A27" s="22" t="s">
        <v>196</v>
      </c>
      <c r="B27" s="22" t="s">
        <v>197</v>
      </c>
      <c r="C27" s="64">
        <f>[3]Munka1!$C$21/1000</f>
        <v>3600</v>
      </c>
    </row>
    <row r="28" spans="1:1024" ht="30.75" x14ac:dyDescent="0.3">
      <c r="A28" s="22" t="s">
        <v>243</v>
      </c>
      <c r="B28" s="22" t="s">
        <v>121</v>
      </c>
      <c r="C28" s="64">
        <v>900</v>
      </c>
    </row>
    <row r="29" spans="1:1024" ht="18.75" x14ac:dyDescent="0.3">
      <c r="A29" s="22" t="s">
        <v>122</v>
      </c>
      <c r="B29" s="22" t="s">
        <v>123</v>
      </c>
      <c r="C29" s="64">
        <f>[1]Társulás!$E$24/1000</f>
        <v>1840</v>
      </c>
    </row>
    <row r="30" spans="1:1024" ht="60.75" x14ac:dyDescent="0.3">
      <c r="A30" s="22" t="s">
        <v>262</v>
      </c>
      <c r="B30" s="22" t="s">
        <v>124</v>
      </c>
      <c r="C30" s="64">
        <f>'2C'!C27</f>
        <v>146645.02900000001</v>
      </c>
      <c r="I30" s="65"/>
    </row>
    <row r="31" spans="1:1024" ht="60.75" x14ac:dyDescent="0.3">
      <c r="A31" s="22" t="s">
        <v>125</v>
      </c>
      <c r="B31" s="107" t="s">
        <v>124</v>
      </c>
      <c r="C31" s="108">
        <f>'2B'!C27</f>
        <v>338722.69699999999</v>
      </c>
      <c r="F31" s="65"/>
    </row>
    <row r="32" spans="1:1024" s="98" customFormat="1" ht="60.75" x14ac:dyDescent="0.3">
      <c r="A32" s="153" t="s">
        <v>125</v>
      </c>
      <c r="B32" s="154" t="s">
        <v>198</v>
      </c>
      <c r="C32" s="155">
        <f>[3]Munka1!$C$16/1000</f>
        <v>10091</v>
      </c>
      <c r="D32" s="1"/>
      <c r="E32" s="1"/>
      <c r="F32" s="6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4" s="140" customFormat="1" ht="30.75" x14ac:dyDescent="0.3">
      <c r="A33" s="22" t="s">
        <v>262</v>
      </c>
      <c r="B33" s="109" t="s">
        <v>244</v>
      </c>
      <c r="C33" s="110">
        <f>[1]Társulás!$E$32/1000</f>
        <v>6616.9995499999995</v>
      </c>
      <c r="D33" s="1"/>
      <c r="E33" s="1"/>
      <c r="F33" s="6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</row>
    <row r="34" spans="1:1024" s="140" customFormat="1" ht="30.75" x14ac:dyDescent="0.3">
      <c r="A34" s="153" t="s">
        <v>125</v>
      </c>
      <c r="B34" s="109" t="s">
        <v>244</v>
      </c>
      <c r="C34" s="110">
        <f>[1]Társulás!$E$33/1000</f>
        <v>6094.0003499999993</v>
      </c>
      <c r="D34" s="1"/>
      <c r="E34" s="1"/>
      <c r="F34" s="6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</row>
    <row r="35" spans="1:1024" ht="18.75" x14ac:dyDescent="0.3">
      <c r="A35" s="66" t="s">
        <v>116</v>
      </c>
      <c r="B35" s="67"/>
      <c r="C35" s="68">
        <f>SUM(C27:C34)</f>
        <v>514509.72590000002</v>
      </c>
    </row>
    <row r="36" spans="1:1024" x14ac:dyDescent="0.25">
      <c r="B36" s="48" t="s">
        <v>126</v>
      </c>
    </row>
    <row r="38" spans="1:1024" x14ac:dyDescent="0.25">
      <c r="A38" t="s">
        <v>226</v>
      </c>
    </row>
  </sheetData>
  <mergeCells count="7">
    <mergeCell ref="A24:C24"/>
    <mergeCell ref="B1:C1"/>
    <mergeCell ref="A5:C5"/>
    <mergeCell ref="A6:C6"/>
    <mergeCell ref="A9:C9"/>
    <mergeCell ref="A10:C10"/>
    <mergeCell ref="A23:C23"/>
  </mergeCells>
  <pageMargins left="0.75984251968503913" right="0.70000000000000007" top="0.85354330708661408" bottom="0.74370078740157508" header="0.45984251968503903" footer="0.35000000000000003"/>
  <pageSetup paperSize="0" scale="8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1"/>
  <sheetViews>
    <sheetView topLeftCell="A10" workbookViewId="0">
      <selection activeCell="A29" sqref="A29:O29"/>
    </sheetView>
  </sheetViews>
  <sheetFormatPr defaultRowHeight="15" x14ac:dyDescent="0.25"/>
  <cols>
    <col min="1" max="1" width="26.875" style="1" customWidth="1"/>
    <col min="2" max="13" width="12" style="1" customWidth="1"/>
    <col min="14" max="14" width="13.5" style="1" customWidth="1"/>
    <col min="15" max="15" width="11.25" style="1" customWidth="1"/>
    <col min="16" max="1024" width="8.75" style="1" customWidth="1"/>
    <col min="1025" max="1025" width="9" customWidth="1"/>
  </cols>
  <sheetData>
    <row r="1" spans="1:14" x14ac:dyDescent="0.25">
      <c r="B1" s="164"/>
      <c r="C1" s="164"/>
      <c r="M1" s="161" t="s">
        <v>245</v>
      </c>
      <c r="N1" s="161"/>
    </row>
    <row r="2" spans="1:14" x14ac:dyDescent="0.25">
      <c r="B2" s="2"/>
    </row>
    <row r="3" spans="1:14" x14ac:dyDescent="0.25">
      <c r="B3" s="2"/>
    </row>
    <row r="4" spans="1:14" x14ac:dyDescent="0.25">
      <c r="B4" s="2"/>
    </row>
    <row r="5" spans="1:14" x14ac:dyDescent="0.25">
      <c r="A5" s="161" t="s">
        <v>1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</row>
    <row r="6" spans="1:14" x14ac:dyDescent="0.25">
      <c r="A6" s="161" t="s">
        <v>238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8" spans="1:14" x14ac:dyDescent="0.25">
      <c r="A8" s="161" t="s">
        <v>127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</row>
    <row r="9" spans="1:14" x14ac:dyDescent="0.25">
      <c r="A9" s="161" t="s">
        <v>246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</row>
    <row r="11" spans="1:14" x14ac:dyDescent="0.25">
      <c r="A11" s="2" t="s">
        <v>128</v>
      </c>
      <c r="B11" s="2" t="s">
        <v>129</v>
      </c>
      <c r="C11" s="2" t="s">
        <v>130</v>
      </c>
      <c r="D11" s="2" t="s">
        <v>131</v>
      </c>
      <c r="E11" s="2" t="s">
        <v>132</v>
      </c>
      <c r="F11" s="2" t="s">
        <v>133</v>
      </c>
      <c r="G11" s="2" t="s">
        <v>134</v>
      </c>
      <c r="H11" s="2" t="s">
        <v>135</v>
      </c>
      <c r="I11" s="2" t="s">
        <v>136</v>
      </c>
      <c r="J11" s="2" t="s">
        <v>137</v>
      </c>
      <c r="K11" s="2" t="s">
        <v>138</v>
      </c>
      <c r="L11" s="2" t="s">
        <v>139</v>
      </c>
      <c r="M11" s="2" t="s">
        <v>140</v>
      </c>
      <c r="N11" s="2" t="s">
        <v>141</v>
      </c>
    </row>
    <row r="12" spans="1:14" x14ac:dyDescent="0.25">
      <c r="A12" s="2" t="s">
        <v>142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  <row r="13" spans="1:14" ht="15.75" x14ac:dyDescent="0.25">
      <c r="A13" s="70" t="s">
        <v>143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250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250</v>
      </c>
      <c r="N13" s="71">
        <f t="shared" ref="N13:N18" si="0">SUM(B13:M13)</f>
        <v>500</v>
      </c>
    </row>
    <row r="14" spans="1:14" ht="15.75" x14ac:dyDescent="0.25">
      <c r="A14" s="70" t="s">
        <v>85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128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128</v>
      </c>
      <c r="N14" s="71">
        <f t="shared" si="0"/>
        <v>256</v>
      </c>
    </row>
    <row r="15" spans="1:14" ht="15.75" x14ac:dyDescent="0.25">
      <c r="A15" s="70" t="s">
        <v>86</v>
      </c>
      <c r="B15" s="50">
        <v>143</v>
      </c>
      <c r="C15" s="50">
        <v>143</v>
      </c>
      <c r="D15" s="50">
        <f>2522+143</f>
        <v>2665</v>
      </c>
      <c r="E15" s="50">
        <v>143</v>
      </c>
      <c r="F15" s="50">
        <v>143</v>
      </c>
      <c r="G15" s="50">
        <f>2522+143</f>
        <v>2665</v>
      </c>
      <c r="H15" s="50">
        <v>143</v>
      </c>
      <c r="I15" s="50">
        <v>143</v>
      </c>
      <c r="J15" s="50">
        <f>2522+143</f>
        <v>2665</v>
      </c>
      <c r="K15" s="50">
        <v>143</v>
      </c>
      <c r="L15" s="50">
        <v>143</v>
      </c>
      <c r="M15" s="50">
        <f>2525+143+3</f>
        <v>2671</v>
      </c>
      <c r="N15" s="71">
        <f t="shared" si="0"/>
        <v>11810</v>
      </c>
    </row>
    <row r="16" spans="1:14" ht="15.75" x14ac:dyDescent="0.25">
      <c r="A16" s="70" t="s">
        <v>144</v>
      </c>
      <c r="B16" s="50">
        <v>0</v>
      </c>
      <c r="C16" s="50">
        <v>0</v>
      </c>
      <c r="D16" s="50">
        <v>0</v>
      </c>
      <c r="E16" s="50">
        <v>1800</v>
      </c>
      <c r="F16" s="50">
        <v>900</v>
      </c>
      <c r="G16" s="50">
        <v>1840</v>
      </c>
      <c r="H16" s="50">
        <v>0</v>
      </c>
      <c r="I16" s="50">
        <v>0</v>
      </c>
      <c r="J16" s="50">
        <v>0</v>
      </c>
      <c r="K16" s="50">
        <v>1800</v>
      </c>
      <c r="L16" s="50">
        <v>0</v>
      </c>
      <c r="M16" s="50">
        <v>0</v>
      </c>
      <c r="N16" s="71">
        <f t="shared" si="0"/>
        <v>6340</v>
      </c>
    </row>
    <row r="17" spans="1:1024" ht="15.75" x14ac:dyDescent="0.25">
      <c r="A17" s="70" t="s">
        <v>145</v>
      </c>
      <c r="B17" s="50">
        <v>0</v>
      </c>
      <c r="C17" s="50">
        <v>1800</v>
      </c>
      <c r="D17" s="50">
        <v>0</v>
      </c>
      <c r="E17" s="50">
        <v>0</v>
      </c>
      <c r="F17" s="50">
        <v>0</v>
      </c>
      <c r="G17" s="50">
        <v>25000</v>
      </c>
      <c r="H17" s="50">
        <v>25000</v>
      </c>
      <c r="I17" s="50">
        <v>25000</v>
      </c>
      <c r="J17" s="50">
        <v>25000</v>
      </c>
      <c r="K17" s="50">
        <v>25000</v>
      </c>
      <c r="L17" s="50">
        <v>25000</v>
      </c>
      <c r="M17" s="50">
        <v>0</v>
      </c>
      <c r="N17" s="71">
        <f t="shared" si="0"/>
        <v>151800</v>
      </c>
    </row>
    <row r="18" spans="1:1024" ht="15.75" x14ac:dyDescent="0.25">
      <c r="A18" s="70" t="s">
        <v>88</v>
      </c>
      <c r="B18" s="50">
        <v>2204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12268</v>
      </c>
      <c r="M18" s="50">
        <v>11976</v>
      </c>
      <c r="N18" s="71">
        <f t="shared" si="0"/>
        <v>26448</v>
      </c>
      <c r="O18" s="1">
        <v>26448</v>
      </c>
    </row>
    <row r="19" spans="1:1024" ht="15.75" x14ac:dyDescent="0.25">
      <c r="A19" s="72" t="s">
        <v>146</v>
      </c>
      <c r="B19" s="73">
        <f t="shared" ref="B19:N19" si="1">SUM(B13:B18)</f>
        <v>2347</v>
      </c>
      <c r="C19" s="73">
        <f t="shared" si="1"/>
        <v>1943</v>
      </c>
      <c r="D19" s="73">
        <f t="shared" si="1"/>
        <v>2665</v>
      </c>
      <c r="E19" s="73">
        <f t="shared" si="1"/>
        <v>1943</v>
      </c>
      <c r="F19" s="73">
        <f t="shared" si="1"/>
        <v>1043</v>
      </c>
      <c r="G19" s="73">
        <f t="shared" si="1"/>
        <v>29883</v>
      </c>
      <c r="H19" s="73">
        <f t="shared" si="1"/>
        <v>25143</v>
      </c>
      <c r="I19" s="73">
        <f t="shared" si="1"/>
        <v>25143</v>
      </c>
      <c r="J19" s="73">
        <f t="shared" si="1"/>
        <v>27665</v>
      </c>
      <c r="K19" s="73">
        <f t="shared" si="1"/>
        <v>26943</v>
      </c>
      <c r="L19" s="73">
        <f t="shared" si="1"/>
        <v>37411</v>
      </c>
      <c r="M19" s="73">
        <f t="shared" si="1"/>
        <v>15025</v>
      </c>
      <c r="N19" s="73">
        <f t="shared" si="1"/>
        <v>197154</v>
      </c>
      <c r="O19" s="55"/>
    </row>
    <row r="21" spans="1:1024" x14ac:dyDescent="0.25">
      <c r="A21" s="2" t="s">
        <v>128</v>
      </c>
      <c r="B21" s="2" t="s">
        <v>129</v>
      </c>
      <c r="C21" s="2" t="s">
        <v>130</v>
      </c>
      <c r="D21" s="2" t="s">
        <v>131</v>
      </c>
      <c r="E21" s="2" t="s">
        <v>132</v>
      </c>
      <c r="F21" s="2" t="s">
        <v>133</v>
      </c>
      <c r="G21" s="2" t="s">
        <v>134</v>
      </c>
      <c r="H21" s="2" t="s">
        <v>135</v>
      </c>
      <c r="I21" s="2" t="s">
        <v>136</v>
      </c>
      <c r="J21" s="2" t="s">
        <v>137</v>
      </c>
      <c r="K21" s="2" t="s">
        <v>138</v>
      </c>
      <c r="L21" s="2" t="s">
        <v>139</v>
      </c>
      <c r="M21" s="2" t="s">
        <v>140</v>
      </c>
      <c r="N21" s="2" t="s">
        <v>141</v>
      </c>
    </row>
    <row r="22" spans="1:1024" x14ac:dyDescent="0.25">
      <c r="A22" s="2" t="s">
        <v>147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024" ht="15.75" x14ac:dyDescent="0.25">
      <c r="A23" s="70" t="s">
        <v>247</v>
      </c>
      <c r="B23" s="50">
        <v>0</v>
      </c>
      <c r="C23" s="50">
        <v>0</v>
      </c>
      <c r="D23" s="50">
        <v>2522</v>
      </c>
      <c r="E23" s="50">
        <v>0</v>
      </c>
      <c r="F23" s="50">
        <v>0</v>
      </c>
      <c r="G23" s="50">
        <v>2522</v>
      </c>
      <c r="H23" s="50">
        <v>0</v>
      </c>
      <c r="I23" s="50">
        <v>0</v>
      </c>
      <c r="J23" s="50">
        <v>2522</v>
      </c>
      <c r="K23" s="50">
        <v>0</v>
      </c>
      <c r="L23" s="50">
        <v>0</v>
      </c>
      <c r="M23" s="50">
        <v>2525</v>
      </c>
      <c r="N23" s="71">
        <f>SUM(B23:M23)</f>
        <v>10091</v>
      </c>
    </row>
    <row r="24" spans="1:1024" ht="15.75" x14ac:dyDescent="0.25">
      <c r="A24" s="70" t="s">
        <v>62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71">
        <v>0</v>
      </c>
    </row>
    <row r="25" spans="1:1024" ht="15.75" x14ac:dyDescent="0.25">
      <c r="A25" s="70" t="s">
        <v>148</v>
      </c>
      <c r="B25" s="50">
        <v>0</v>
      </c>
      <c r="C25" s="50">
        <v>0</v>
      </c>
      <c r="D25" s="50">
        <v>10168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10168</v>
      </c>
      <c r="L25" s="50">
        <v>0</v>
      </c>
      <c r="M25" s="50">
        <v>0</v>
      </c>
      <c r="N25" s="71">
        <f>SUM(B25:M25)</f>
        <v>20336</v>
      </c>
    </row>
    <row r="26" spans="1:1024" s="159" customFormat="1" ht="15.75" x14ac:dyDescent="0.25">
      <c r="A26" s="70" t="s">
        <v>264</v>
      </c>
      <c r="B26" s="50">
        <v>0</v>
      </c>
      <c r="C26" s="50">
        <v>0</v>
      </c>
      <c r="D26" s="50">
        <v>0</v>
      </c>
      <c r="E26" s="50">
        <v>0</v>
      </c>
      <c r="F26" s="50">
        <v>37500</v>
      </c>
      <c r="G26" s="50">
        <v>0</v>
      </c>
      <c r="H26" s="50">
        <v>0</v>
      </c>
      <c r="I26" s="50">
        <v>50000</v>
      </c>
      <c r="J26" s="50">
        <v>0</v>
      </c>
      <c r="K26" s="50">
        <v>0</v>
      </c>
      <c r="L26" s="50">
        <v>50000</v>
      </c>
      <c r="M26" s="50">
        <f>15000-2500</f>
        <v>12500</v>
      </c>
      <c r="N26" s="71">
        <f t="shared" ref="N26" si="2">SUM(B26:M26)</f>
        <v>150000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ht="15.75" x14ac:dyDescent="0.25">
      <c r="A27" s="70" t="s">
        <v>50</v>
      </c>
      <c r="B27" s="50">
        <v>2347</v>
      </c>
      <c r="C27" s="50">
        <v>4147</v>
      </c>
      <c r="D27" s="50">
        <v>0</v>
      </c>
      <c r="E27" s="50">
        <v>0</v>
      </c>
      <c r="F27" s="50">
        <v>0</v>
      </c>
      <c r="G27" s="50">
        <v>4138</v>
      </c>
      <c r="H27" s="50">
        <v>2347</v>
      </c>
      <c r="I27" s="50">
        <v>2347</v>
      </c>
      <c r="J27" s="50">
        <f>2347-946</f>
        <v>1401</v>
      </c>
      <c r="K27" s="50">
        <v>0</v>
      </c>
      <c r="L27" s="50">
        <v>0</v>
      </c>
      <c r="M27" s="50">
        <v>0</v>
      </c>
      <c r="N27" s="71">
        <f>SUM(B27:M27)</f>
        <v>16727</v>
      </c>
    </row>
    <row r="28" spans="1:1024" ht="15.75" x14ac:dyDescent="0.25">
      <c r="A28" s="72" t="s">
        <v>149</v>
      </c>
      <c r="B28" s="73">
        <f>SUM(B23:B27)</f>
        <v>2347</v>
      </c>
      <c r="C28" s="73">
        <f t="shared" ref="C28:N28" si="3">SUM(C23:C27)</f>
        <v>4147</v>
      </c>
      <c r="D28" s="73">
        <f t="shared" si="3"/>
        <v>12690</v>
      </c>
      <c r="E28" s="73">
        <f t="shared" si="3"/>
        <v>0</v>
      </c>
      <c r="F28" s="73">
        <f t="shared" si="3"/>
        <v>37500</v>
      </c>
      <c r="G28" s="73">
        <f t="shared" si="3"/>
        <v>6660</v>
      </c>
      <c r="H28" s="73">
        <f t="shared" si="3"/>
        <v>2347</v>
      </c>
      <c r="I28" s="73">
        <f t="shared" si="3"/>
        <v>52347</v>
      </c>
      <c r="J28" s="73">
        <f>SUM(J23:J27)</f>
        <v>3923</v>
      </c>
      <c r="K28" s="73">
        <f t="shared" si="3"/>
        <v>10168</v>
      </c>
      <c r="L28" s="73">
        <f t="shared" si="3"/>
        <v>50000</v>
      </c>
      <c r="M28" s="73">
        <f t="shared" si="3"/>
        <v>15025</v>
      </c>
      <c r="N28" s="73">
        <f t="shared" si="3"/>
        <v>197154</v>
      </c>
    </row>
    <row r="29" spans="1:1024" s="149" customForma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x14ac:dyDescent="0.25">
      <c r="A30" s="161" t="s">
        <v>117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</row>
    <row r="32" spans="1:1024" x14ac:dyDescent="0.25">
      <c r="A32" s="161" t="s">
        <v>1</v>
      </c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</row>
    <row r="33" spans="1:14" x14ac:dyDescent="0.25">
      <c r="A33" s="161" t="s">
        <v>238</v>
      </c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</row>
    <row r="35" spans="1:14" x14ac:dyDescent="0.25">
      <c r="A35" s="161" t="s">
        <v>262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</row>
    <row r="36" spans="1:14" x14ac:dyDescent="0.25">
      <c r="A36" s="161" t="s">
        <v>246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</row>
    <row r="38" spans="1:14" x14ac:dyDescent="0.25">
      <c r="A38" s="2" t="s">
        <v>128</v>
      </c>
      <c r="B38" s="2" t="s">
        <v>129</v>
      </c>
      <c r="C38" s="2" t="s">
        <v>130</v>
      </c>
      <c r="D38" s="2" t="s">
        <v>131</v>
      </c>
      <c r="E38" s="2" t="s">
        <v>132</v>
      </c>
      <c r="F38" s="2" t="s">
        <v>133</v>
      </c>
      <c r="G38" s="2" t="s">
        <v>134</v>
      </c>
      <c r="H38" s="2" t="s">
        <v>135</v>
      </c>
      <c r="I38" s="2" t="s">
        <v>136</v>
      </c>
      <c r="J38" s="2" t="s">
        <v>137</v>
      </c>
      <c r="K38" s="2" t="s">
        <v>138</v>
      </c>
      <c r="L38" s="2" t="s">
        <v>139</v>
      </c>
      <c r="M38" s="2" t="s">
        <v>140</v>
      </c>
      <c r="N38" s="2" t="s">
        <v>141</v>
      </c>
    </row>
    <row r="39" spans="1:14" x14ac:dyDescent="0.25">
      <c r="A39" s="2" t="s">
        <v>142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4" ht="15.75" x14ac:dyDescent="0.25">
      <c r="A40" s="70" t="s">
        <v>143</v>
      </c>
      <c r="B40" s="50">
        <v>8075</v>
      </c>
      <c r="C40" s="50">
        <v>8075</v>
      </c>
      <c r="D40" s="50">
        <v>8075</v>
      </c>
      <c r="E40" s="50">
        <v>8075</v>
      </c>
      <c r="F40" s="50">
        <v>8075</v>
      </c>
      <c r="G40" s="50">
        <v>8075</v>
      </c>
      <c r="H40" s="50">
        <v>8075</v>
      </c>
      <c r="I40" s="50">
        <v>8075</v>
      </c>
      <c r="J40" s="50">
        <v>8075</v>
      </c>
      <c r="K40" s="50">
        <v>8075</v>
      </c>
      <c r="L40" s="50">
        <f>8075+4041</f>
        <v>12116</v>
      </c>
      <c r="M40" s="50">
        <v>8075</v>
      </c>
      <c r="N40" s="71">
        <f>SUM(B40:M40)</f>
        <v>100941</v>
      </c>
    </row>
    <row r="41" spans="1:14" ht="15.75" x14ac:dyDescent="0.25">
      <c r="A41" s="70" t="s">
        <v>85</v>
      </c>
      <c r="B41" s="50">
        <v>2157</v>
      </c>
      <c r="C41" s="50">
        <v>2157</v>
      </c>
      <c r="D41" s="50">
        <v>2157</v>
      </c>
      <c r="E41" s="50">
        <v>2157</v>
      </c>
      <c r="F41" s="50">
        <v>2157</v>
      </c>
      <c r="G41" s="50">
        <v>2157</v>
      </c>
      <c r="H41" s="50">
        <v>2157</v>
      </c>
      <c r="I41" s="50">
        <v>2157</v>
      </c>
      <c r="J41" s="50">
        <v>2157</v>
      </c>
      <c r="K41" s="50">
        <v>2157</v>
      </c>
      <c r="L41" s="50">
        <f>2157+1078</f>
        <v>3235</v>
      </c>
      <c r="M41" s="50">
        <v>2157</v>
      </c>
      <c r="N41" s="71">
        <f>SUM(B41:M41)</f>
        <v>26962</v>
      </c>
    </row>
    <row r="42" spans="1:14" ht="15.75" x14ac:dyDescent="0.25">
      <c r="A42" s="70" t="s">
        <v>86</v>
      </c>
      <c r="B42" s="50">
        <v>2179</v>
      </c>
      <c r="C42" s="50">
        <v>2179</v>
      </c>
      <c r="D42" s="50">
        <v>2179</v>
      </c>
      <c r="E42" s="50">
        <v>2179</v>
      </c>
      <c r="F42" s="50">
        <v>2179</v>
      </c>
      <c r="G42" s="50">
        <v>2179</v>
      </c>
      <c r="H42" s="50">
        <v>2179</v>
      </c>
      <c r="I42" s="50">
        <v>2179</v>
      </c>
      <c r="J42" s="50">
        <v>2179</v>
      </c>
      <c r="K42" s="50">
        <v>2179</v>
      </c>
      <c r="L42" s="50">
        <v>2179</v>
      </c>
      <c r="M42" s="50">
        <v>2181</v>
      </c>
      <c r="N42" s="71">
        <f>SUM(B42:M42)</f>
        <v>26150</v>
      </c>
    </row>
    <row r="43" spans="1:14" ht="15.75" x14ac:dyDescent="0.25">
      <c r="A43" s="70" t="s">
        <v>144</v>
      </c>
      <c r="B43" s="50">
        <v>35</v>
      </c>
      <c r="C43" s="50">
        <v>35</v>
      </c>
      <c r="D43" s="50">
        <v>35</v>
      </c>
      <c r="E43" s="50">
        <v>35</v>
      </c>
      <c r="F43" s="50">
        <v>35</v>
      </c>
      <c r="G43" s="50">
        <v>35</v>
      </c>
      <c r="H43" s="50">
        <v>35</v>
      </c>
      <c r="I43" s="50">
        <v>35</v>
      </c>
      <c r="J43" s="50">
        <v>35</v>
      </c>
      <c r="K43" s="50">
        <v>35</v>
      </c>
      <c r="L43" s="50">
        <v>35</v>
      </c>
      <c r="M43" s="50">
        <v>35</v>
      </c>
      <c r="N43" s="71">
        <f>SUM(B43:M43)</f>
        <v>420</v>
      </c>
    </row>
    <row r="44" spans="1:14" ht="15.75" x14ac:dyDescent="0.25">
      <c r="A44" s="70" t="s">
        <v>145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71">
        <v>0</v>
      </c>
    </row>
    <row r="45" spans="1:14" ht="15.75" x14ac:dyDescent="0.25">
      <c r="A45" s="72" t="s">
        <v>146</v>
      </c>
      <c r="B45" s="73">
        <f t="shared" ref="B45:N45" si="4">SUM(B40:B44)</f>
        <v>12446</v>
      </c>
      <c r="C45" s="73">
        <f t="shared" si="4"/>
        <v>12446</v>
      </c>
      <c r="D45" s="73">
        <f t="shared" si="4"/>
        <v>12446</v>
      </c>
      <c r="E45" s="73">
        <f t="shared" si="4"/>
        <v>12446</v>
      </c>
      <c r="F45" s="73">
        <f t="shared" si="4"/>
        <v>12446</v>
      </c>
      <c r="G45" s="73">
        <f t="shared" si="4"/>
        <v>12446</v>
      </c>
      <c r="H45" s="73">
        <f t="shared" si="4"/>
        <v>12446</v>
      </c>
      <c r="I45" s="73">
        <f t="shared" si="4"/>
        <v>12446</v>
      </c>
      <c r="J45" s="73">
        <f t="shared" si="4"/>
        <v>12446</v>
      </c>
      <c r="K45" s="73">
        <f t="shared" si="4"/>
        <v>12446</v>
      </c>
      <c r="L45" s="73">
        <f t="shared" si="4"/>
        <v>17565</v>
      </c>
      <c r="M45" s="73">
        <f t="shared" si="4"/>
        <v>12448</v>
      </c>
      <c r="N45" s="73">
        <f t="shared" si="4"/>
        <v>154473</v>
      </c>
    </row>
    <row r="47" spans="1:14" x14ac:dyDescent="0.25">
      <c r="A47" s="2" t="s">
        <v>128</v>
      </c>
      <c r="B47" s="2" t="s">
        <v>129</v>
      </c>
      <c r="C47" s="2" t="s">
        <v>130</v>
      </c>
      <c r="D47" s="2" t="s">
        <v>131</v>
      </c>
      <c r="E47" s="2" t="s">
        <v>132</v>
      </c>
      <c r="F47" s="2" t="s">
        <v>133</v>
      </c>
      <c r="G47" s="2" t="s">
        <v>134</v>
      </c>
      <c r="H47" s="2" t="s">
        <v>135</v>
      </c>
      <c r="I47" s="2" t="s">
        <v>136</v>
      </c>
      <c r="J47" s="2" t="s">
        <v>137</v>
      </c>
      <c r="K47" s="2" t="s">
        <v>138</v>
      </c>
      <c r="L47" s="2" t="s">
        <v>139</v>
      </c>
      <c r="M47" s="2" t="s">
        <v>140</v>
      </c>
      <c r="N47" s="2" t="s">
        <v>141</v>
      </c>
    </row>
    <row r="48" spans="1:14" x14ac:dyDescent="0.25">
      <c r="A48" s="2" t="s">
        <v>147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</row>
    <row r="49" spans="1:15" ht="15.75" x14ac:dyDescent="0.25">
      <c r="A49" s="70" t="s">
        <v>247</v>
      </c>
      <c r="B49" s="50">
        <v>242</v>
      </c>
      <c r="C49" s="50">
        <v>242</v>
      </c>
      <c r="D49" s="50">
        <v>242</v>
      </c>
      <c r="E49" s="50">
        <v>242</v>
      </c>
      <c r="F49" s="50">
        <v>242</v>
      </c>
      <c r="G49" s="50">
        <v>242</v>
      </c>
      <c r="H49" s="50">
        <v>242</v>
      </c>
      <c r="I49" s="50">
        <v>242</v>
      </c>
      <c r="J49" s="50">
        <v>242</v>
      </c>
      <c r="K49" s="50">
        <v>242</v>
      </c>
      <c r="L49" s="50">
        <v>242</v>
      </c>
      <c r="M49" s="50">
        <v>238</v>
      </c>
      <c r="N49" s="71">
        <f>SUM(B49:M49)</f>
        <v>2900</v>
      </c>
    </row>
    <row r="50" spans="1:15" ht="15.75" x14ac:dyDescent="0.25">
      <c r="A50" s="70" t="s">
        <v>62</v>
      </c>
      <c r="B50" s="50">
        <v>7754</v>
      </c>
      <c r="C50" s="50">
        <v>7754</v>
      </c>
      <c r="D50" s="50">
        <v>7754</v>
      </c>
      <c r="E50" s="50">
        <v>7754</v>
      </c>
      <c r="F50" s="50">
        <v>7754</v>
      </c>
      <c r="G50" s="50">
        <v>7754</v>
      </c>
      <c r="H50" s="50">
        <v>7754</v>
      </c>
      <c r="I50" s="50">
        <v>7754</v>
      </c>
      <c r="J50" s="50">
        <v>7754</v>
      </c>
      <c r="K50" s="50">
        <v>7754</v>
      </c>
      <c r="L50" s="50">
        <v>7754</v>
      </c>
      <c r="M50" s="50">
        <v>7760</v>
      </c>
      <c r="N50" s="71">
        <f>SUM(B50:M50)</f>
        <v>93054</v>
      </c>
    </row>
    <row r="51" spans="1:15" ht="15.75" x14ac:dyDescent="0.25">
      <c r="A51" s="70" t="s">
        <v>148</v>
      </c>
      <c r="B51" s="50">
        <v>4524</v>
      </c>
      <c r="C51" s="50">
        <v>4524</v>
      </c>
      <c r="D51" s="50">
        <v>4524</v>
      </c>
      <c r="E51" s="50">
        <v>4524</v>
      </c>
      <c r="F51" s="50">
        <v>4524</v>
      </c>
      <c r="G51" s="50">
        <v>4524</v>
      </c>
      <c r="H51" s="50">
        <v>4524</v>
      </c>
      <c r="I51" s="50">
        <v>4524</v>
      </c>
      <c r="J51" s="50">
        <v>4524</v>
      </c>
      <c r="K51" s="50">
        <v>4524</v>
      </c>
      <c r="L51" s="50">
        <v>4527</v>
      </c>
      <c r="M51" s="50">
        <v>4524</v>
      </c>
      <c r="N51" s="71">
        <f>SUM(B51:M51)</f>
        <v>54291</v>
      </c>
    </row>
    <row r="52" spans="1:15" ht="15.75" x14ac:dyDescent="0.25">
      <c r="A52" s="70" t="s">
        <v>50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4228</v>
      </c>
      <c r="M52" s="50">
        <v>0</v>
      </c>
      <c r="N52" s="71">
        <f>SUM(B52:M52)</f>
        <v>4228</v>
      </c>
    </row>
    <row r="53" spans="1:15" ht="15.75" x14ac:dyDescent="0.25">
      <c r="A53" s="72" t="s">
        <v>149</v>
      </c>
      <c r="B53" s="73">
        <f t="shared" ref="B53:N53" si="5">SUM(B49:B52)</f>
        <v>12520</v>
      </c>
      <c r="C53" s="73">
        <f t="shared" si="5"/>
        <v>12520</v>
      </c>
      <c r="D53" s="73">
        <f t="shared" si="5"/>
        <v>12520</v>
      </c>
      <c r="E53" s="73">
        <f t="shared" si="5"/>
        <v>12520</v>
      </c>
      <c r="F53" s="73">
        <f t="shared" si="5"/>
        <v>12520</v>
      </c>
      <c r="G53" s="73">
        <f t="shared" si="5"/>
        <v>12520</v>
      </c>
      <c r="H53" s="73">
        <f t="shared" si="5"/>
        <v>12520</v>
      </c>
      <c r="I53" s="73">
        <f t="shared" si="5"/>
        <v>12520</v>
      </c>
      <c r="J53" s="73">
        <f t="shared" si="5"/>
        <v>12520</v>
      </c>
      <c r="K53" s="73">
        <f t="shared" si="5"/>
        <v>12520</v>
      </c>
      <c r="L53" s="73">
        <f t="shared" si="5"/>
        <v>16751</v>
      </c>
      <c r="M53" s="73">
        <f t="shared" si="5"/>
        <v>12522</v>
      </c>
      <c r="N53" s="73">
        <f t="shared" si="5"/>
        <v>154473</v>
      </c>
    </row>
    <row r="56" spans="1:15" x14ac:dyDescent="0.25">
      <c r="A56" s="161" t="s">
        <v>1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</row>
    <row r="57" spans="1:15" x14ac:dyDescent="0.25">
      <c r="A57" s="161" t="s">
        <v>238</v>
      </c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</row>
    <row r="59" spans="1:15" x14ac:dyDescent="0.25">
      <c r="A59" s="169" t="s">
        <v>150</v>
      </c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</row>
    <row r="60" spans="1:15" x14ac:dyDescent="0.25">
      <c r="A60" s="161" t="s">
        <v>246</v>
      </c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</row>
    <row r="62" spans="1:15" x14ac:dyDescent="0.25">
      <c r="A62" s="2" t="s">
        <v>128</v>
      </c>
      <c r="B62" s="2" t="s">
        <v>129</v>
      </c>
      <c r="C62" s="2" t="s">
        <v>130</v>
      </c>
      <c r="D62" s="2" t="s">
        <v>131</v>
      </c>
      <c r="E62" s="2" t="s">
        <v>132</v>
      </c>
      <c r="F62" s="2" t="s">
        <v>133</v>
      </c>
      <c r="G62" s="2" t="s">
        <v>134</v>
      </c>
      <c r="H62" s="2" t="s">
        <v>135</v>
      </c>
      <c r="I62" s="2" t="s">
        <v>136</v>
      </c>
      <c r="J62" s="2" t="s">
        <v>137</v>
      </c>
      <c r="K62" s="2" t="s">
        <v>138</v>
      </c>
      <c r="L62" s="2" t="s">
        <v>139</v>
      </c>
      <c r="M62" s="2" t="s">
        <v>140</v>
      </c>
      <c r="N62" s="2" t="s">
        <v>141</v>
      </c>
    </row>
    <row r="63" spans="1:15" x14ac:dyDescent="0.25">
      <c r="A63" s="2" t="s">
        <v>142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5" ht="15.75" x14ac:dyDescent="0.25">
      <c r="A64" s="70" t="s">
        <v>143</v>
      </c>
      <c r="B64" s="50">
        <v>25402</v>
      </c>
      <c r="C64" s="50">
        <v>25402</v>
      </c>
      <c r="D64" s="50">
        <v>25402</v>
      </c>
      <c r="E64" s="50">
        <v>25402</v>
      </c>
      <c r="F64" s="50">
        <v>25402</v>
      </c>
      <c r="G64" s="50">
        <v>25402</v>
      </c>
      <c r="H64" s="50">
        <v>25402</v>
      </c>
      <c r="I64" s="50">
        <v>25402</v>
      </c>
      <c r="J64" s="50">
        <v>25402</v>
      </c>
      <c r="K64" s="50">
        <v>25402</v>
      </c>
      <c r="L64" s="50">
        <f>25402+12704</f>
        <v>38106</v>
      </c>
      <c r="M64" s="50">
        <v>25402</v>
      </c>
      <c r="N64" s="71">
        <f>SUM(B64:M64)</f>
        <v>317528</v>
      </c>
      <c r="O64" s="156"/>
    </row>
    <row r="65" spans="1:15" ht="15.75" x14ac:dyDescent="0.25">
      <c r="A65" s="70" t="s">
        <v>85</v>
      </c>
      <c r="B65" s="50">
        <v>6904</v>
      </c>
      <c r="C65" s="50">
        <v>6904</v>
      </c>
      <c r="D65" s="50">
        <v>6904</v>
      </c>
      <c r="E65" s="50">
        <v>6904</v>
      </c>
      <c r="F65" s="50">
        <v>6904</v>
      </c>
      <c r="G65" s="50">
        <v>6904</v>
      </c>
      <c r="H65" s="50">
        <v>6904</v>
      </c>
      <c r="I65" s="50">
        <v>6904</v>
      </c>
      <c r="J65" s="50">
        <v>6904</v>
      </c>
      <c r="K65" s="50">
        <v>6904</v>
      </c>
      <c r="L65" s="50">
        <f>6904+3447</f>
        <v>10351</v>
      </c>
      <c r="M65" s="50">
        <v>6904</v>
      </c>
      <c r="N65" s="71">
        <f>SUM(B65:M65)</f>
        <v>86295</v>
      </c>
      <c r="O65" s="156"/>
    </row>
    <row r="66" spans="1:15" ht="15.75" x14ac:dyDescent="0.25">
      <c r="A66" s="70" t="s">
        <v>86</v>
      </c>
      <c r="B66" s="50">
        <v>15908</v>
      </c>
      <c r="C66" s="50">
        <v>15908</v>
      </c>
      <c r="D66" s="50">
        <v>15908</v>
      </c>
      <c r="E66" s="50">
        <v>15908</v>
      </c>
      <c r="F66" s="50">
        <v>15908</v>
      </c>
      <c r="G66" s="50">
        <v>15908</v>
      </c>
      <c r="H66" s="50">
        <v>15908</v>
      </c>
      <c r="I66" s="50">
        <v>15908</v>
      </c>
      <c r="J66" s="50">
        <v>15908</v>
      </c>
      <c r="K66" s="50">
        <v>15908</v>
      </c>
      <c r="L66" s="50">
        <v>15908</v>
      </c>
      <c r="M66" s="50">
        <v>15912</v>
      </c>
      <c r="N66" s="71">
        <f>SUM(B66:M66)</f>
        <v>190900</v>
      </c>
      <c r="O66" s="156"/>
    </row>
    <row r="67" spans="1:15" ht="15.75" x14ac:dyDescent="0.25">
      <c r="A67" s="70" t="s">
        <v>144</v>
      </c>
      <c r="B67" s="50">
        <v>71</v>
      </c>
      <c r="C67" s="50">
        <v>71</v>
      </c>
      <c r="D67" s="50">
        <v>71</v>
      </c>
      <c r="E67" s="50">
        <v>71</v>
      </c>
      <c r="F67" s="50">
        <v>71</v>
      </c>
      <c r="G67" s="50">
        <v>71</v>
      </c>
      <c r="H67" s="50">
        <v>71</v>
      </c>
      <c r="I67" s="50">
        <v>71</v>
      </c>
      <c r="J67" s="50">
        <v>71</v>
      </c>
      <c r="K67" s="50">
        <v>71</v>
      </c>
      <c r="L67" s="50">
        <v>70</v>
      </c>
      <c r="M67" s="50">
        <v>70</v>
      </c>
      <c r="N67" s="71">
        <f>SUM(B67:M67)</f>
        <v>850</v>
      </c>
      <c r="O67" s="156"/>
    </row>
    <row r="68" spans="1:15" ht="15.75" x14ac:dyDescent="0.25">
      <c r="A68" s="70" t="s">
        <v>145</v>
      </c>
      <c r="B68" s="50">
        <v>0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71">
        <v>0</v>
      </c>
      <c r="O68" s="156"/>
    </row>
    <row r="69" spans="1:15" ht="15.75" x14ac:dyDescent="0.25">
      <c r="A69" s="72" t="s">
        <v>146</v>
      </c>
      <c r="B69" s="73">
        <f t="shared" ref="B69:N69" si="6">SUM(B64:B68)</f>
        <v>48285</v>
      </c>
      <c r="C69" s="73">
        <f t="shared" si="6"/>
        <v>48285</v>
      </c>
      <c r="D69" s="73">
        <f t="shared" si="6"/>
        <v>48285</v>
      </c>
      <c r="E69" s="73">
        <f t="shared" si="6"/>
        <v>48285</v>
      </c>
      <c r="F69" s="73">
        <f t="shared" si="6"/>
        <v>48285</v>
      </c>
      <c r="G69" s="73">
        <f t="shared" si="6"/>
        <v>48285</v>
      </c>
      <c r="H69" s="73">
        <f t="shared" si="6"/>
        <v>48285</v>
      </c>
      <c r="I69" s="73">
        <f t="shared" si="6"/>
        <v>48285</v>
      </c>
      <c r="J69" s="73">
        <f t="shared" si="6"/>
        <v>48285</v>
      </c>
      <c r="K69" s="73">
        <f t="shared" si="6"/>
        <v>48285</v>
      </c>
      <c r="L69" s="73">
        <f t="shared" si="6"/>
        <v>64435</v>
      </c>
      <c r="M69" s="73">
        <f t="shared" si="6"/>
        <v>48288</v>
      </c>
      <c r="N69" s="73">
        <f t="shared" si="6"/>
        <v>595573</v>
      </c>
      <c r="O69" s="156"/>
    </row>
    <row r="71" spans="1:15" x14ac:dyDescent="0.25">
      <c r="A71" s="2" t="s">
        <v>128</v>
      </c>
      <c r="B71" s="2" t="s">
        <v>129</v>
      </c>
      <c r="C71" s="2" t="s">
        <v>130</v>
      </c>
      <c r="D71" s="2" t="s">
        <v>131</v>
      </c>
      <c r="E71" s="2" t="s">
        <v>132</v>
      </c>
      <c r="F71" s="2" t="s">
        <v>133</v>
      </c>
      <c r="G71" s="2" t="s">
        <v>134</v>
      </c>
      <c r="H71" s="2" t="s">
        <v>135</v>
      </c>
      <c r="I71" s="2" t="s">
        <v>136</v>
      </c>
      <c r="J71" s="2" t="s">
        <v>137</v>
      </c>
      <c r="K71" s="2" t="s">
        <v>138</v>
      </c>
      <c r="L71" s="2" t="s">
        <v>139</v>
      </c>
      <c r="M71" s="2" t="s">
        <v>140</v>
      </c>
      <c r="N71" s="2" t="s">
        <v>141</v>
      </c>
    </row>
    <row r="72" spans="1:15" x14ac:dyDescent="0.25">
      <c r="A72" s="2" t="s">
        <v>147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</row>
    <row r="73" spans="1:15" ht="15.75" x14ac:dyDescent="0.25">
      <c r="A73" s="70" t="s">
        <v>247</v>
      </c>
      <c r="B73" s="50">
        <v>18411</v>
      </c>
      <c r="C73" s="50">
        <v>18411</v>
      </c>
      <c r="D73" s="50">
        <v>18411</v>
      </c>
      <c r="E73" s="50">
        <v>18411</v>
      </c>
      <c r="F73" s="50">
        <v>18411</v>
      </c>
      <c r="G73" s="50">
        <v>18411</v>
      </c>
      <c r="H73" s="50">
        <v>18411</v>
      </c>
      <c r="I73" s="50">
        <v>18411</v>
      </c>
      <c r="J73" s="50">
        <v>18411</v>
      </c>
      <c r="K73" s="50">
        <v>18411</v>
      </c>
      <c r="L73" s="50">
        <v>18411</v>
      </c>
      <c r="M73" s="50">
        <v>18410</v>
      </c>
      <c r="N73" s="71">
        <f>SUM(B73:M73)</f>
        <v>220931</v>
      </c>
    </row>
    <row r="74" spans="1:15" ht="15.75" x14ac:dyDescent="0.25">
      <c r="A74" s="70" t="s">
        <v>62</v>
      </c>
      <c r="B74" s="50">
        <v>18671</v>
      </c>
      <c r="C74" s="50">
        <v>18671</v>
      </c>
      <c r="D74" s="50">
        <v>18671</v>
      </c>
      <c r="E74" s="50">
        <v>18671</v>
      </c>
      <c r="F74" s="50">
        <v>18671</v>
      </c>
      <c r="G74" s="50">
        <v>18671</v>
      </c>
      <c r="H74" s="50">
        <v>18671</v>
      </c>
      <c r="I74" s="50">
        <v>18671</v>
      </c>
      <c r="J74" s="50">
        <v>18671</v>
      </c>
      <c r="K74" s="50">
        <v>18671</v>
      </c>
      <c r="L74" s="50">
        <v>18671</v>
      </c>
      <c r="M74" s="50">
        <v>18671</v>
      </c>
      <c r="N74" s="71">
        <f>SUM(B74:M74)</f>
        <v>224052</v>
      </c>
    </row>
    <row r="75" spans="1:15" ht="15.75" x14ac:dyDescent="0.25">
      <c r="A75" s="70" t="s">
        <v>148</v>
      </c>
      <c r="B75" s="50">
        <v>10130</v>
      </c>
      <c r="C75" s="50">
        <v>10130</v>
      </c>
      <c r="D75" s="50">
        <f>2522+10130</f>
        <v>12652</v>
      </c>
      <c r="E75" s="50">
        <v>10130</v>
      </c>
      <c r="F75" s="50">
        <v>10130</v>
      </c>
      <c r="G75" s="50">
        <f>2522+10130</f>
        <v>12652</v>
      </c>
      <c r="H75" s="50">
        <v>10130</v>
      </c>
      <c r="I75" s="50">
        <v>10130</v>
      </c>
      <c r="J75" s="50">
        <f>2522+10130</f>
        <v>12652</v>
      </c>
      <c r="K75" s="50">
        <v>10130</v>
      </c>
      <c r="L75" s="50">
        <v>10130</v>
      </c>
      <c r="M75" s="50">
        <f>2525+10130+10</f>
        <v>12665</v>
      </c>
      <c r="N75" s="71">
        <f>SUM(B75:M75)</f>
        <v>131661</v>
      </c>
    </row>
    <row r="76" spans="1:15" ht="15.75" x14ac:dyDescent="0.25">
      <c r="A76" s="70" t="s">
        <v>50</v>
      </c>
      <c r="B76" s="50">
        <v>1073</v>
      </c>
      <c r="C76" s="50">
        <v>1073</v>
      </c>
      <c r="D76" s="50">
        <v>0</v>
      </c>
      <c r="E76" s="50">
        <v>0</v>
      </c>
      <c r="F76" s="50">
        <v>697</v>
      </c>
      <c r="G76" s="50">
        <v>0</v>
      </c>
      <c r="H76" s="50">
        <v>0</v>
      </c>
      <c r="I76" s="50">
        <v>697</v>
      </c>
      <c r="J76" s="50">
        <v>0</v>
      </c>
      <c r="K76" s="50">
        <v>0</v>
      </c>
      <c r="L76" s="50">
        <v>15379</v>
      </c>
      <c r="M76" s="50">
        <v>0</v>
      </c>
      <c r="N76" s="71">
        <f>SUM(B76:M76)</f>
        <v>18919</v>
      </c>
      <c r="O76" s="156"/>
    </row>
    <row r="77" spans="1:15" ht="15.75" x14ac:dyDescent="0.25">
      <c r="A77" s="72" t="s">
        <v>149</v>
      </c>
      <c r="B77" s="73">
        <f t="shared" ref="B77:N77" si="7">SUM(B73:B76)</f>
        <v>48285</v>
      </c>
      <c r="C77" s="73">
        <f t="shared" si="7"/>
        <v>48285</v>
      </c>
      <c r="D77" s="73">
        <f t="shared" si="7"/>
        <v>49734</v>
      </c>
      <c r="E77" s="73">
        <f t="shared" si="7"/>
        <v>47212</v>
      </c>
      <c r="F77" s="73">
        <f t="shared" si="7"/>
        <v>47909</v>
      </c>
      <c r="G77" s="73">
        <f t="shared" si="7"/>
        <v>49734</v>
      </c>
      <c r="H77" s="73">
        <f t="shared" si="7"/>
        <v>47212</v>
      </c>
      <c r="I77" s="73">
        <f t="shared" si="7"/>
        <v>47909</v>
      </c>
      <c r="J77" s="73">
        <f t="shared" si="7"/>
        <v>49734</v>
      </c>
      <c r="K77" s="73">
        <f t="shared" si="7"/>
        <v>47212</v>
      </c>
      <c r="L77" s="73">
        <f t="shared" si="7"/>
        <v>62591</v>
      </c>
      <c r="M77" s="73">
        <f t="shared" si="7"/>
        <v>49746</v>
      </c>
      <c r="N77" s="73">
        <f t="shared" si="7"/>
        <v>595563</v>
      </c>
      <c r="O77" s="156"/>
    </row>
    <row r="80" spans="1:15" x14ac:dyDescent="0.25">
      <c r="A80" s="170" t="s">
        <v>126</v>
      </c>
      <c r="B80" s="170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</row>
    <row r="81" spans="1:1" x14ac:dyDescent="0.25">
      <c r="A81" t="s">
        <v>226</v>
      </c>
    </row>
  </sheetData>
  <mergeCells count="16">
    <mergeCell ref="A57:N57"/>
    <mergeCell ref="A59:N59"/>
    <mergeCell ref="A60:N60"/>
    <mergeCell ref="A80:N80"/>
    <mergeCell ref="A30:N30"/>
    <mergeCell ref="A32:N32"/>
    <mergeCell ref="A33:N33"/>
    <mergeCell ref="A35:N35"/>
    <mergeCell ref="A36:N36"/>
    <mergeCell ref="A56:N56"/>
    <mergeCell ref="A9:N9"/>
    <mergeCell ref="B1:C1"/>
    <mergeCell ref="M1:N1"/>
    <mergeCell ref="A5:N5"/>
    <mergeCell ref="A6:N6"/>
    <mergeCell ref="A8:N8"/>
  </mergeCells>
  <pageMargins left="0.70826771653543308" right="0.70826771653543308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  <rowBreaks count="1" manualBreakCount="1">
    <brk id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3"/>
  <sheetViews>
    <sheetView topLeftCell="A19" workbookViewId="0">
      <selection activeCell="E34" sqref="E34"/>
    </sheetView>
  </sheetViews>
  <sheetFormatPr defaultRowHeight="15" x14ac:dyDescent="0.25"/>
  <cols>
    <col min="1" max="1" width="33.5" style="1" customWidth="1"/>
    <col min="2" max="3" width="13" style="1" customWidth="1"/>
    <col min="4" max="4" width="17" style="1" customWidth="1"/>
    <col min="5" max="1022" width="8.75" style="1" customWidth="1"/>
    <col min="1023" max="1023" width="9" customWidth="1"/>
  </cols>
  <sheetData>
    <row r="1" spans="1:7" ht="15.75" x14ac:dyDescent="0.25">
      <c r="A1" s="74"/>
      <c r="C1" s="161" t="s">
        <v>251</v>
      </c>
      <c r="D1" s="161"/>
    </row>
    <row r="2" spans="1:7" ht="15.75" x14ac:dyDescent="0.25">
      <c r="A2" s="75"/>
    </row>
    <row r="3" spans="1:7" ht="15.75" x14ac:dyDescent="0.25">
      <c r="A3" s="163" t="s">
        <v>8</v>
      </c>
      <c r="B3" s="163"/>
      <c r="C3" s="163"/>
      <c r="D3" s="163"/>
    </row>
    <row r="4" spans="1:7" ht="15.75" x14ac:dyDescent="0.25">
      <c r="A4" s="163" t="s">
        <v>151</v>
      </c>
      <c r="B4" s="163"/>
      <c r="C4" s="163"/>
      <c r="D4" s="163"/>
    </row>
    <row r="5" spans="1:7" ht="15.75" x14ac:dyDescent="0.25">
      <c r="A5" s="163" t="s">
        <v>249</v>
      </c>
      <c r="B5" s="163"/>
      <c r="C5" s="163"/>
      <c r="D5" s="163"/>
      <c r="G5"/>
    </row>
    <row r="6" spans="1:7" ht="15.75" x14ac:dyDescent="0.25">
      <c r="A6" s="76"/>
      <c r="G6"/>
    </row>
    <row r="7" spans="1:7" ht="15.75" customHeight="1" x14ac:dyDescent="0.25">
      <c r="A7" s="171" t="s">
        <v>152</v>
      </c>
      <c r="B7" s="171"/>
      <c r="C7" s="171"/>
      <c r="D7" s="171"/>
    </row>
    <row r="8" spans="1:7" x14ac:dyDescent="0.25">
      <c r="A8" s="77"/>
      <c r="G8"/>
    </row>
    <row r="9" spans="1:7" ht="16.5" thickBot="1" x14ac:dyDescent="0.3">
      <c r="B9" s="78" t="s">
        <v>153</v>
      </c>
      <c r="C9" s="133"/>
      <c r="D9" s="4"/>
    </row>
    <row r="10" spans="1:7" ht="33" customHeight="1" thickTop="1" x14ac:dyDescent="0.25">
      <c r="A10" s="79" t="s">
        <v>6</v>
      </c>
      <c r="B10" s="80" t="s">
        <v>225</v>
      </c>
      <c r="C10" s="80" t="s">
        <v>250</v>
      </c>
      <c r="D10" s="79" t="s">
        <v>154</v>
      </c>
    </row>
    <row r="11" spans="1:7" ht="15.75" x14ac:dyDescent="0.25">
      <c r="A11" s="81" t="s">
        <v>155</v>
      </c>
      <c r="B11" s="82" t="s">
        <v>156</v>
      </c>
      <c r="C11" s="82" t="s">
        <v>156</v>
      </c>
      <c r="D11" s="83"/>
    </row>
    <row r="12" spans="1:7" ht="16.5" customHeight="1" thickBot="1" x14ac:dyDescent="0.3">
      <c r="A12" s="84"/>
      <c r="B12" s="85" t="s">
        <v>157</v>
      </c>
      <c r="C12" s="85" t="s">
        <v>157</v>
      </c>
      <c r="D12" s="83"/>
    </row>
    <row r="13" spans="1:7" ht="47.25" customHeight="1" thickTop="1" x14ac:dyDescent="0.25">
      <c r="A13" s="160" t="s">
        <v>262</v>
      </c>
      <c r="B13" s="87">
        <f>SUM(B14:B16)</f>
        <v>43</v>
      </c>
      <c r="C13" s="87">
        <f>SUM(C14:C16)</f>
        <v>43</v>
      </c>
      <c r="D13" s="88">
        <v>0</v>
      </c>
    </row>
    <row r="14" spans="1:7" ht="19.5" customHeight="1" x14ac:dyDescent="0.25">
      <c r="A14" s="89" t="s">
        <v>158</v>
      </c>
      <c r="B14" s="90">
        <v>8</v>
      </c>
      <c r="C14" s="90">
        <v>8</v>
      </c>
      <c r="D14" s="91">
        <v>0</v>
      </c>
    </row>
    <row r="15" spans="1:7" ht="21.75" customHeight="1" x14ac:dyDescent="0.25">
      <c r="A15" s="89" t="s">
        <v>159</v>
      </c>
      <c r="B15" s="90">
        <v>16</v>
      </c>
      <c r="C15" s="90">
        <v>16</v>
      </c>
      <c r="D15" s="91">
        <v>0</v>
      </c>
    </row>
    <row r="16" spans="1:7" ht="19.5" customHeight="1" x14ac:dyDescent="0.25">
      <c r="A16" s="89" t="s">
        <v>160</v>
      </c>
      <c r="B16" s="90">
        <v>19</v>
      </c>
      <c r="C16" s="90">
        <v>19</v>
      </c>
      <c r="D16" s="91">
        <v>0</v>
      </c>
    </row>
    <row r="17" spans="1:4" ht="37.5" customHeight="1" x14ac:dyDescent="0.25">
      <c r="A17" s="86" t="s">
        <v>125</v>
      </c>
      <c r="B17" s="87">
        <f>SUM(B18:B28)</f>
        <v>134</v>
      </c>
      <c r="C17" s="87">
        <v>141</v>
      </c>
      <c r="D17" s="88">
        <f>SUM(D18:D28)</f>
        <v>0</v>
      </c>
    </row>
    <row r="18" spans="1:4" ht="33.75" customHeight="1" x14ac:dyDescent="0.25">
      <c r="A18" s="89" t="s">
        <v>161</v>
      </c>
      <c r="B18" s="90">
        <v>42</v>
      </c>
      <c r="C18" s="90">
        <v>43</v>
      </c>
      <c r="D18" s="91">
        <v>0</v>
      </c>
    </row>
    <row r="19" spans="1:4" ht="21" customHeight="1" x14ac:dyDescent="0.25">
      <c r="A19" s="89" t="s">
        <v>162</v>
      </c>
      <c r="B19" s="90">
        <v>28</v>
      </c>
      <c r="C19" s="90">
        <v>28</v>
      </c>
      <c r="D19" s="91">
        <v>0</v>
      </c>
    </row>
    <row r="20" spans="1:4" ht="19.5" customHeight="1" x14ac:dyDescent="0.25">
      <c r="A20" s="89" t="s">
        <v>163</v>
      </c>
      <c r="B20" s="90"/>
      <c r="C20" s="90"/>
      <c r="D20" s="91">
        <v>0</v>
      </c>
    </row>
    <row r="21" spans="1:4" ht="18" customHeight="1" x14ac:dyDescent="0.25">
      <c r="A21" s="89" t="s">
        <v>164</v>
      </c>
      <c r="B21" s="90">
        <v>6</v>
      </c>
      <c r="C21" s="90">
        <v>6</v>
      </c>
      <c r="D21" s="91">
        <v>0</v>
      </c>
    </row>
    <row r="22" spans="1:4" ht="18" customHeight="1" x14ac:dyDescent="0.25">
      <c r="A22" s="89" t="s">
        <v>165</v>
      </c>
      <c r="B22" s="90">
        <v>16</v>
      </c>
      <c r="C22" s="90">
        <v>16</v>
      </c>
      <c r="D22" s="91">
        <v>0</v>
      </c>
    </row>
    <row r="23" spans="1:4" ht="16.5" customHeight="1" x14ac:dyDescent="0.25">
      <c r="A23" s="89" t="s">
        <v>166</v>
      </c>
      <c r="B23" s="90">
        <v>7</v>
      </c>
      <c r="C23" s="90">
        <v>7</v>
      </c>
      <c r="D23" s="91">
        <v>0</v>
      </c>
    </row>
    <row r="24" spans="1:4" ht="18.75" customHeight="1" x14ac:dyDescent="0.25">
      <c r="A24" s="89" t="s">
        <v>167</v>
      </c>
      <c r="B24" s="90">
        <v>2</v>
      </c>
      <c r="C24" s="90">
        <v>2</v>
      </c>
      <c r="D24" s="91">
        <v>0</v>
      </c>
    </row>
    <row r="25" spans="1:4" ht="18" customHeight="1" x14ac:dyDescent="0.25">
      <c r="A25" s="89" t="s">
        <v>168</v>
      </c>
      <c r="B25" s="90">
        <v>4</v>
      </c>
      <c r="C25" s="90">
        <v>4</v>
      </c>
      <c r="D25" s="91">
        <v>0</v>
      </c>
    </row>
    <row r="26" spans="1:4" ht="18.75" customHeight="1" x14ac:dyDescent="0.25">
      <c r="A26" s="89" t="s">
        <v>169</v>
      </c>
      <c r="B26" s="90">
        <v>24</v>
      </c>
      <c r="C26" s="90">
        <v>30</v>
      </c>
      <c r="D26" s="91">
        <v>0</v>
      </c>
    </row>
    <row r="27" spans="1:4" ht="18" customHeight="1" x14ac:dyDescent="0.25">
      <c r="A27" s="89" t="s">
        <v>170</v>
      </c>
      <c r="B27" s="90">
        <v>1</v>
      </c>
      <c r="C27" s="90">
        <v>1</v>
      </c>
      <c r="D27" s="91">
        <v>0</v>
      </c>
    </row>
    <row r="28" spans="1:4" ht="17.25" customHeight="1" x14ac:dyDescent="0.25">
      <c r="A28" s="89" t="s">
        <v>171</v>
      </c>
      <c r="B28" s="134">
        <v>4</v>
      </c>
      <c r="C28" s="134">
        <v>4</v>
      </c>
      <c r="D28" s="92">
        <v>0</v>
      </c>
    </row>
    <row r="29" spans="1:4" ht="17.25" customHeight="1" x14ac:dyDescent="0.25">
      <c r="A29" s="86" t="s">
        <v>8</v>
      </c>
      <c r="B29" s="135">
        <v>0</v>
      </c>
      <c r="C29" s="135">
        <v>0</v>
      </c>
      <c r="D29" s="93">
        <v>0</v>
      </c>
    </row>
    <row r="30" spans="1:4" ht="17.25" customHeight="1" x14ac:dyDescent="0.25">
      <c r="A30" s="22" t="s">
        <v>115</v>
      </c>
      <c r="B30" s="134">
        <v>0</v>
      </c>
      <c r="C30" s="134">
        <v>0</v>
      </c>
      <c r="D30" s="92">
        <v>0</v>
      </c>
    </row>
    <row r="31" spans="1:4" ht="21.75" customHeight="1" x14ac:dyDescent="0.25">
      <c r="A31" s="86" t="s">
        <v>116</v>
      </c>
      <c r="B31" s="87">
        <f>SUM(B13+B17+B29)</f>
        <v>177</v>
      </c>
      <c r="C31" s="87">
        <f>SUM(C13+C17+C29)</f>
        <v>184</v>
      </c>
      <c r="D31" s="88">
        <f>SUM(D13+D17+D29)</f>
        <v>0</v>
      </c>
    </row>
    <row r="33" spans="1:1" ht="15.75" x14ac:dyDescent="0.25">
      <c r="A33" s="94" t="s">
        <v>226</v>
      </c>
    </row>
  </sheetData>
  <mergeCells count="5">
    <mergeCell ref="A3:D3"/>
    <mergeCell ref="A4:D4"/>
    <mergeCell ref="A5:D5"/>
    <mergeCell ref="A7:D7"/>
    <mergeCell ref="C1:D1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"/>
  <sheetViews>
    <sheetView tabSelected="1" topLeftCell="A4" workbookViewId="0">
      <selection activeCell="A4" sqref="A4:E4"/>
    </sheetView>
  </sheetViews>
  <sheetFormatPr defaultRowHeight="15" x14ac:dyDescent="0.2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5" width="17.625" style="1" customWidth="1"/>
    <col min="6" max="1024" width="8.75" style="1" customWidth="1"/>
    <col min="1025" max="1025" width="9" customWidth="1"/>
  </cols>
  <sheetData>
    <row r="1" spans="1:1024" ht="15.75" x14ac:dyDescent="0.25">
      <c r="A1" s="111"/>
      <c r="B1" s="172" t="s">
        <v>252</v>
      </c>
      <c r="C1" s="172"/>
      <c r="D1" s="172"/>
      <c r="E1" s="172"/>
    </row>
    <row r="2" spans="1:1024" ht="15.75" x14ac:dyDescent="0.25">
      <c r="A2" s="175" t="s">
        <v>8</v>
      </c>
      <c r="B2" s="175"/>
      <c r="C2" s="175"/>
      <c r="D2" s="175"/>
      <c r="E2" s="175"/>
    </row>
    <row r="3" spans="1:1024" ht="15.75" x14ac:dyDescent="0.25">
      <c r="A3" s="112"/>
      <c r="B3" s="112"/>
      <c r="C3" s="112"/>
      <c r="D3" s="111"/>
      <c r="E3" s="111"/>
    </row>
    <row r="4" spans="1:1024" ht="15.75" x14ac:dyDescent="0.25">
      <c r="A4" s="175" t="s">
        <v>172</v>
      </c>
      <c r="B4" s="175"/>
      <c r="C4" s="175"/>
      <c r="D4" s="175"/>
      <c r="E4" s="175"/>
    </row>
    <row r="5" spans="1:1024" ht="15.75" x14ac:dyDescent="0.25">
      <c r="A5" s="111"/>
      <c r="B5" s="111"/>
      <c r="C5" s="111"/>
      <c r="D5" s="111"/>
      <c r="E5" s="111"/>
    </row>
    <row r="6" spans="1:1024" ht="15.75" x14ac:dyDescent="0.25">
      <c r="A6" s="175" t="s">
        <v>10</v>
      </c>
      <c r="B6" s="175"/>
      <c r="C6" s="175"/>
      <c r="D6" s="111"/>
      <c r="E6" s="111"/>
    </row>
    <row r="7" spans="1:1024" ht="15.75" x14ac:dyDescent="0.25">
      <c r="A7" s="75" t="s">
        <v>218</v>
      </c>
      <c r="B7" s="111"/>
      <c r="C7" s="111"/>
      <c r="D7" s="111"/>
      <c r="E7" s="111"/>
    </row>
    <row r="8" spans="1:1024" s="42" customFormat="1" ht="47.25" x14ac:dyDescent="0.25">
      <c r="A8" s="113" t="s">
        <v>103</v>
      </c>
      <c r="B8" s="114" t="s">
        <v>223</v>
      </c>
      <c r="C8" s="115" t="s">
        <v>254</v>
      </c>
      <c r="D8" s="75" t="s">
        <v>217</v>
      </c>
      <c r="E8" s="75" t="s">
        <v>216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s="98" customFormat="1" ht="15.75" x14ac:dyDescent="0.25">
      <c r="A9" s="116" t="s">
        <v>199</v>
      </c>
      <c r="B9" s="117" t="s">
        <v>59</v>
      </c>
      <c r="C9" s="118">
        <v>60896</v>
      </c>
      <c r="D9" s="117">
        <v>426</v>
      </c>
      <c r="E9" s="119">
        <f>SUM(D9*C9)</f>
        <v>25941696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s="98" customFormat="1" ht="15.75" x14ac:dyDescent="0.25">
      <c r="A10" s="116" t="s">
        <v>200</v>
      </c>
      <c r="B10" s="117" t="s">
        <v>60</v>
      </c>
      <c r="C10" s="118">
        <v>188500</v>
      </c>
      <c r="D10" s="120">
        <v>192</v>
      </c>
      <c r="E10" s="119">
        <f t="shared" ref="E10:E16" si="0">SUM(D10*C10)</f>
        <v>36192000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s="98" customFormat="1" ht="15.75" x14ac:dyDescent="0.25">
      <c r="A11" s="116" t="s">
        <v>201</v>
      </c>
      <c r="B11" s="117" t="s">
        <v>202</v>
      </c>
      <c r="C11" s="118">
        <v>163500</v>
      </c>
      <c r="D11" s="117">
        <v>38</v>
      </c>
      <c r="E11" s="119">
        <f t="shared" si="0"/>
        <v>6213000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98" customFormat="1" ht="15.75" x14ac:dyDescent="0.25">
      <c r="A12" s="116" t="s">
        <v>203</v>
      </c>
      <c r="B12" s="117" t="s">
        <v>204</v>
      </c>
      <c r="C12" s="118">
        <v>550000</v>
      </c>
      <c r="D12" s="120">
        <v>11</v>
      </c>
      <c r="E12" s="119">
        <f t="shared" si="0"/>
        <v>6050000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98" customFormat="1" ht="15.75" x14ac:dyDescent="0.25">
      <c r="A13" s="116" t="s">
        <v>203</v>
      </c>
      <c r="B13" s="117" t="s">
        <v>205</v>
      </c>
      <c r="C13" s="118">
        <v>220000</v>
      </c>
      <c r="D13" s="117">
        <v>16</v>
      </c>
      <c r="E13" s="119">
        <f t="shared" si="0"/>
        <v>3520000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s="98" customFormat="1" ht="15.75" x14ac:dyDescent="0.25">
      <c r="A14" s="116" t="s">
        <v>206</v>
      </c>
      <c r="B14" s="117" t="s">
        <v>207</v>
      </c>
      <c r="C14" s="120">
        <v>550000</v>
      </c>
      <c r="D14" s="117">
        <v>28</v>
      </c>
      <c r="E14" s="119">
        <f t="shared" si="0"/>
        <v>15400000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s="98" customFormat="1" ht="15.75" x14ac:dyDescent="0.25">
      <c r="A15" s="121" t="s">
        <v>208</v>
      </c>
      <c r="B15" s="122" t="s">
        <v>209</v>
      </c>
      <c r="C15" s="123">
        <v>247320</v>
      </c>
      <c r="D15" s="122">
        <v>36</v>
      </c>
      <c r="E15" s="119">
        <f t="shared" si="0"/>
        <v>8903520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s="98" customFormat="1" ht="15.75" x14ac:dyDescent="0.25">
      <c r="A16" s="121" t="s">
        <v>210</v>
      </c>
      <c r="B16" s="122" t="s">
        <v>211</v>
      </c>
      <c r="C16" s="123">
        <v>515185</v>
      </c>
      <c r="D16" s="122">
        <v>40</v>
      </c>
      <c r="E16" s="119">
        <f t="shared" si="0"/>
        <v>20607400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s="98" customFormat="1" ht="15.75" x14ac:dyDescent="0.25">
      <c r="A17" s="121" t="s">
        <v>212</v>
      </c>
      <c r="B17" s="122" t="s">
        <v>213</v>
      </c>
      <c r="C17" s="123">
        <v>2606040</v>
      </c>
      <c r="D17" s="122">
        <v>32</v>
      </c>
      <c r="E17" s="124">
        <v>83393280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s="98" customFormat="1" ht="15.75" x14ac:dyDescent="0.25">
      <c r="A18" s="117" t="s">
        <v>214</v>
      </c>
      <c r="B18" s="117" t="s">
        <v>215</v>
      </c>
      <c r="C18" s="120"/>
      <c r="D18" s="117"/>
      <c r="E18" s="120">
        <v>25725104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s="98" customFormat="1" ht="15.75" x14ac:dyDescent="0.25">
      <c r="A19" s="113"/>
      <c r="B19" s="114" t="s">
        <v>75</v>
      </c>
      <c r="C19" s="115"/>
      <c r="D19" s="111"/>
      <c r="E19" s="128">
        <f>SUM(E9:E18)</f>
        <v>231946000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x14ac:dyDescent="0.25">
      <c r="A20"/>
      <c r="B20" s="95"/>
      <c r="C20" s="96"/>
    </row>
    <row r="21" spans="1:1024" ht="15.75" x14ac:dyDescent="0.25">
      <c r="A21" s="176" t="s">
        <v>262</v>
      </c>
      <c r="B21" s="176"/>
      <c r="C21" s="176"/>
      <c r="D21" s="111"/>
      <c r="E21" s="111"/>
    </row>
    <row r="22" spans="1:1024" s="98" customFormat="1" ht="47.25" x14ac:dyDescent="0.25">
      <c r="A22" s="113" t="s">
        <v>103</v>
      </c>
      <c r="B22" s="114" t="s">
        <v>223</v>
      </c>
      <c r="C22" s="115" t="s">
        <v>254</v>
      </c>
      <c r="D22" s="75" t="s">
        <v>217</v>
      </c>
      <c r="E22" s="75" t="s">
        <v>216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s="98" customFormat="1" ht="15.75" x14ac:dyDescent="0.25">
      <c r="A23" s="116" t="s">
        <v>219</v>
      </c>
      <c r="B23" s="117" t="s">
        <v>253</v>
      </c>
      <c r="C23" s="118" t="s">
        <v>255</v>
      </c>
      <c r="D23" s="117">
        <v>15.6</v>
      </c>
      <c r="E23" s="119">
        <v>46800000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98" customFormat="1" ht="15.75" x14ac:dyDescent="0.25">
      <c r="A24" s="116" t="s">
        <v>256</v>
      </c>
      <c r="B24" s="117" t="s">
        <v>257</v>
      </c>
      <c r="C24" s="118" t="s">
        <v>255</v>
      </c>
      <c r="D24" s="157">
        <v>10.8</v>
      </c>
      <c r="E24" s="119">
        <v>32400000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98" customFormat="1" ht="15.75" x14ac:dyDescent="0.25">
      <c r="A25" s="116" t="s">
        <v>220</v>
      </c>
      <c r="B25" s="117" t="s">
        <v>221</v>
      </c>
      <c r="C25" s="125"/>
      <c r="D25" s="125" t="s">
        <v>258</v>
      </c>
      <c r="E25" s="119">
        <v>5707228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98" customFormat="1" ht="36.75" customHeight="1" x14ac:dyDescent="0.25">
      <c r="A26" s="116" t="s">
        <v>214</v>
      </c>
      <c r="B26" s="122" t="s">
        <v>222</v>
      </c>
      <c r="C26" s="173" t="s">
        <v>259</v>
      </c>
      <c r="D26" s="174"/>
      <c r="E26" s="119">
        <v>8147000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ht="15.75" x14ac:dyDescent="0.25">
      <c r="A27" s="129"/>
      <c r="B27" s="131" t="s">
        <v>116</v>
      </c>
      <c r="C27" s="129"/>
      <c r="D27" s="129"/>
      <c r="E27" s="130">
        <f>SUM(E23:E26)</f>
        <v>93054228</v>
      </c>
    </row>
    <row r="28" spans="1:1024" s="98" customFormat="1" ht="15.75" x14ac:dyDescent="0.25">
      <c r="A28" s="126"/>
      <c r="B28" s="132"/>
      <c r="C28" s="126"/>
      <c r="D28" s="126"/>
      <c r="E28" s="12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98" customFormat="1" ht="15.75" x14ac:dyDescent="0.25">
      <c r="A29" s="126"/>
      <c r="B29" s="132" t="s">
        <v>224</v>
      </c>
      <c r="C29" s="126"/>
      <c r="D29" s="126"/>
      <c r="E29" s="127">
        <f>E19+E27</f>
        <v>325000228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98" customFormat="1" ht="15.75" x14ac:dyDescent="0.25">
      <c r="A30" s="126"/>
      <c r="B30" s="126"/>
      <c r="C30" s="126"/>
      <c r="D30" s="126"/>
      <c r="E30" s="12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x14ac:dyDescent="0.25">
      <c r="A31" s="1" t="s">
        <v>226</v>
      </c>
    </row>
  </sheetData>
  <mergeCells count="6">
    <mergeCell ref="B1:E1"/>
    <mergeCell ref="C26:D26"/>
    <mergeCell ref="A6:C6"/>
    <mergeCell ref="A21:C21"/>
    <mergeCell ref="A2:E2"/>
    <mergeCell ref="A4:E4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1_</vt:lpstr>
      <vt:lpstr>2A</vt:lpstr>
      <vt:lpstr>2B</vt:lpstr>
      <vt:lpstr>2C</vt:lpstr>
      <vt:lpstr>2D</vt:lpstr>
      <vt:lpstr>5</vt:lpstr>
      <vt:lpstr>3</vt:lpstr>
      <vt:lpstr>4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dcterms:created xsi:type="dcterms:W3CDTF">2013-02-08T06:54:51Z</dcterms:created>
  <dcterms:modified xsi:type="dcterms:W3CDTF">2016-02-05T04:12:25Z</dcterms:modified>
</cp:coreProperties>
</file>